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wang1\Documents\LRAP Calculators\"/>
    </mc:Choice>
  </mc:AlternateContent>
  <xr:revisionPtr revIDLastSave="0" documentId="13_ncr:1_{58129DEE-AF39-422D-8E1E-0370F0C2BD00}" xr6:coauthVersionLast="36" xr6:coauthVersionMax="36" xr10:uidLastSave="{00000000-0000-0000-0000-000000000000}"/>
  <bookViews>
    <workbookView xWindow="0" yWindow="0" windowWidth="8670" windowHeight="6564" activeTab="1" xr2:uid="{C6D87EBE-24B7-4A03-8690-4517C8A03102}"/>
  </bookViews>
  <sheets>
    <sheet name="LRAP" sheetId="1" r:id="rId1"/>
    <sheet name="LRAP+Flywheel" sheetId="2" r:id="rId2"/>
    <sheet name="LRAP+PSLF" sheetId="3" r:id="rId3"/>
  </sheets>
  <calcPr calcId="191029" iterateDelta="25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2" l="1"/>
  <c r="E67" i="2"/>
  <c r="E68" i="2"/>
  <c r="E69" i="2"/>
  <c r="E70" i="2"/>
  <c r="E71" i="2"/>
  <c r="E72" i="2"/>
  <c r="E73" i="2"/>
  <c r="E74" i="2"/>
  <c r="E75" i="2"/>
  <c r="E76" i="2"/>
  <c r="E65" i="2"/>
  <c r="I28" i="3" l="1"/>
  <c r="I29" i="3"/>
  <c r="I30" i="3"/>
  <c r="I31" i="3"/>
  <c r="I32" i="3"/>
  <c r="I33" i="3"/>
  <c r="I34" i="3"/>
  <c r="I35" i="3"/>
  <c r="I36" i="3"/>
  <c r="I27" i="3"/>
  <c r="I28" i="2"/>
  <c r="I29" i="2"/>
  <c r="I30" i="2"/>
  <c r="I31" i="2"/>
  <c r="I32" i="2"/>
  <c r="I33" i="2"/>
  <c r="I34" i="2"/>
  <c r="I35" i="2"/>
  <c r="I36" i="2"/>
  <c r="I37" i="2"/>
  <c r="I38" i="2"/>
  <c r="I27" i="2"/>
  <c r="I27" i="1"/>
  <c r="I28" i="1"/>
  <c r="I29" i="1"/>
  <c r="I30" i="1"/>
  <c r="I31" i="1"/>
  <c r="I32" i="1"/>
  <c r="I33" i="1"/>
  <c r="I34" i="1"/>
  <c r="I35" i="1"/>
  <c r="I36" i="1"/>
  <c r="I37" i="1"/>
  <c r="I38" i="1"/>
  <c r="F67" i="2" l="1"/>
  <c r="F68" i="2"/>
  <c r="F72" i="2"/>
  <c r="F69" i="2"/>
  <c r="F70" i="2"/>
  <c r="F71" i="2"/>
  <c r="F73" i="2"/>
  <c r="F74" i="2"/>
  <c r="F76" i="2"/>
  <c r="F66" i="2"/>
  <c r="F75" i="2"/>
  <c r="F65" i="2"/>
  <c r="H56" i="3" l="1"/>
  <c r="I56" i="3" s="1"/>
  <c r="J56" i="3" s="1"/>
  <c r="K56" i="3" s="1"/>
  <c r="L56" i="3" s="1"/>
  <c r="M56" i="3" s="1"/>
  <c r="N56" i="3" s="1"/>
  <c r="O56" i="3" s="1"/>
  <c r="P56" i="3" s="1"/>
  <c r="Q56" i="3" s="1"/>
  <c r="R56" i="3" s="1"/>
  <c r="S56" i="3" s="1"/>
  <c r="T56" i="3" s="1"/>
  <c r="H55" i="3"/>
  <c r="I55" i="3" s="1"/>
  <c r="J55" i="3" s="1"/>
  <c r="K55" i="3" s="1"/>
  <c r="L55" i="3" s="1"/>
  <c r="M55" i="3" s="1"/>
  <c r="N55" i="3" s="1"/>
  <c r="O55" i="3" s="1"/>
  <c r="P55" i="3" s="1"/>
  <c r="Q55" i="3" s="1"/>
  <c r="R55" i="3" s="1"/>
  <c r="S55" i="3" s="1"/>
  <c r="T55" i="3" s="1"/>
  <c r="H54" i="3"/>
  <c r="I54" i="3" s="1"/>
  <c r="J54" i="3" s="1"/>
  <c r="K54" i="3" s="1"/>
  <c r="L54" i="3" s="1"/>
  <c r="M54" i="3" s="1"/>
  <c r="N54" i="3" s="1"/>
  <c r="O54" i="3" s="1"/>
  <c r="P54" i="3" s="1"/>
  <c r="Q54" i="3" s="1"/>
  <c r="R54" i="3" s="1"/>
  <c r="S54" i="3" s="1"/>
  <c r="T54" i="3" s="1"/>
  <c r="H53" i="3"/>
  <c r="I53" i="3" s="1"/>
  <c r="J53" i="3" s="1"/>
  <c r="K53" i="3" s="1"/>
  <c r="L53" i="3" s="1"/>
  <c r="M53" i="3" s="1"/>
  <c r="N53" i="3" s="1"/>
  <c r="O53" i="3" s="1"/>
  <c r="P53" i="3" s="1"/>
  <c r="Q53" i="3" s="1"/>
  <c r="R53" i="3" s="1"/>
  <c r="S53" i="3" s="1"/>
  <c r="T53" i="3" s="1"/>
  <c r="H52" i="3"/>
  <c r="I52" i="3" s="1"/>
  <c r="J52" i="3" s="1"/>
  <c r="K52" i="3" s="1"/>
  <c r="L52" i="3" s="1"/>
  <c r="M52" i="3" s="1"/>
  <c r="N52" i="3" s="1"/>
  <c r="O52" i="3" s="1"/>
  <c r="P52" i="3" s="1"/>
  <c r="Q52" i="3" s="1"/>
  <c r="R52" i="3" s="1"/>
  <c r="S52" i="3" s="1"/>
  <c r="T52" i="3" s="1"/>
  <c r="H51" i="3"/>
  <c r="I51" i="3" s="1"/>
  <c r="J51" i="3" s="1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H50" i="3"/>
  <c r="I50" i="3" s="1"/>
  <c r="J50" i="3" s="1"/>
  <c r="K50" i="3" s="1"/>
  <c r="L50" i="3" s="1"/>
  <c r="M50" i="3" s="1"/>
  <c r="N50" i="3" s="1"/>
  <c r="O50" i="3" s="1"/>
  <c r="P50" i="3" s="1"/>
  <c r="Q50" i="3" s="1"/>
  <c r="R50" i="3" s="1"/>
  <c r="S50" i="3" s="1"/>
  <c r="T50" i="3" s="1"/>
  <c r="H49" i="3"/>
  <c r="I49" i="3" s="1"/>
  <c r="J49" i="3" s="1"/>
  <c r="K49" i="3" s="1"/>
  <c r="L49" i="3" s="1"/>
  <c r="M49" i="3" s="1"/>
  <c r="N49" i="3" s="1"/>
  <c r="O49" i="3" s="1"/>
  <c r="P49" i="3" s="1"/>
  <c r="Q49" i="3" s="1"/>
  <c r="R49" i="3" s="1"/>
  <c r="S49" i="3" s="1"/>
  <c r="T49" i="3" s="1"/>
  <c r="H48" i="3"/>
  <c r="I48" i="3" s="1"/>
  <c r="J48" i="3" s="1"/>
  <c r="K48" i="3" s="1"/>
  <c r="L48" i="3" s="1"/>
  <c r="M48" i="3" s="1"/>
  <c r="N48" i="3" s="1"/>
  <c r="O48" i="3" s="1"/>
  <c r="P48" i="3" s="1"/>
  <c r="Q48" i="3" s="1"/>
  <c r="R48" i="3" s="1"/>
  <c r="S48" i="3" s="1"/>
  <c r="T48" i="3" s="1"/>
  <c r="O36" i="3"/>
  <c r="J36" i="3"/>
  <c r="B36" i="3"/>
  <c r="C36" i="3" s="1"/>
  <c r="O35" i="3"/>
  <c r="J35" i="3"/>
  <c r="B35" i="3"/>
  <c r="C35" i="3" s="1"/>
  <c r="O34" i="3"/>
  <c r="J34" i="3"/>
  <c r="B34" i="3"/>
  <c r="H13" i="3" s="1"/>
  <c r="O33" i="3"/>
  <c r="J33" i="3"/>
  <c r="B33" i="3"/>
  <c r="H12" i="3" s="1"/>
  <c r="O32" i="3"/>
  <c r="J32" i="3"/>
  <c r="B32" i="3"/>
  <c r="H11" i="3" s="1"/>
  <c r="O31" i="3"/>
  <c r="J31" i="3"/>
  <c r="B31" i="3"/>
  <c r="H10" i="3" s="1"/>
  <c r="O30" i="3"/>
  <c r="J30" i="3"/>
  <c r="B30" i="3"/>
  <c r="C30" i="3" s="1"/>
  <c r="O29" i="3"/>
  <c r="J29" i="3"/>
  <c r="B29" i="3"/>
  <c r="J28" i="3"/>
  <c r="E28" i="3"/>
  <c r="F28" i="3" s="1"/>
  <c r="B28" i="3"/>
  <c r="O27" i="3"/>
  <c r="J27" i="3"/>
  <c r="H27" i="3"/>
  <c r="H28" i="3" s="1"/>
  <c r="H29" i="3" s="1"/>
  <c r="H30" i="3" s="1"/>
  <c r="H31" i="3" s="1"/>
  <c r="H32" i="3" s="1"/>
  <c r="H33" i="3" s="1"/>
  <c r="H34" i="3" s="1"/>
  <c r="H35" i="3" s="1"/>
  <c r="H36" i="3" s="1"/>
  <c r="E27" i="3"/>
  <c r="F27" i="3" s="1"/>
  <c r="D27" i="3"/>
  <c r="D28" i="3" s="1"/>
  <c r="B27" i="3"/>
  <c r="C27" i="3" s="1"/>
  <c r="K27" i="3" s="1"/>
  <c r="G15" i="3"/>
  <c r="G14" i="3"/>
  <c r="G13" i="3"/>
  <c r="E13" i="3"/>
  <c r="G12" i="3"/>
  <c r="G11" i="3"/>
  <c r="G10" i="3"/>
  <c r="G9" i="3"/>
  <c r="G8" i="3"/>
  <c r="E8" i="3"/>
  <c r="O28" i="3" s="1"/>
  <c r="G7" i="3"/>
  <c r="G6" i="3"/>
  <c r="H4" i="3"/>
  <c r="G4" i="3"/>
  <c r="J38" i="2"/>
  <c r="B38" i="2"/>
  <c r="C38" i="2" s="1"/>
  <c r="J37" i="2"/>
  <c r="B37" i="2"/>
  <c r="C37" i="2" s="1"/>
  <c r="J36" i="2"/>
  <c r="B36" i="2"/>
  <c r="D74" i="2" s="1"/>
  <c r="J35" i="2"/>
  <c r="B35" i="2"/>
  <c r="H14" i="2" s="1"/>
  <c r="J34" i="2"/>
  <c r="B34" i="2"/>
  <c r="D72" i="2" s="1"/>
  <c r="J33" i="2"/>
  <c r="B33" i="2"/>
  <c r="C33" i="2" s="1"/>
  <c r="J32" i="2"/>
  <c r="B32" i="2"/>
  <c r="C32" i="2" s="1"/>
  <c r="J31" i="2"/>
  <c r="B31" i="2"/>
  <c r="D69" i="2" s="1"/>
  <c r="J30" i="2"/>
  <c r="B30" i="2"/>
  <c r="C30" i="2" s="1"/>
  <c r="J29" i="2"/>
  <c r="B29" i="2"/>
  <c r="D67" i="2" s="1"/>
  <c r="J28" i="2"/>
  <c r="H28" i="2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B28" i="2"/>
  <c r="C28" i="2" s="1"/>
  <c r="J27" i="2"/>
  <c r="H27" i="2"/>
  <c r="E27" i="2"/>
  <c r="E28" i="2" s="1"/>
  <c r="D27" i="2"/>
  <c r="B27" i="2"/>
  <c r="G15" i="2"/>
  <c r="G16" i="2" s="1"/>
  <c r="G17" i="2" s="1"/>
  <c r="G14" i="2"/>
  <c r="G13" i="2"/>
  <c r="E13" i="2"/>
  <c r="Q30" i="2" s="1"/>
  <c r="R30" i="2" s="1"/>
  <c r="G12" i="2"/>
  <c r="G11" i="2"/>
  <c r="G10" i="2"/>
  <c r="G9" i="2"/>
  <c r="G8" i="2"/>
  <c r="E8" i="2"/>
  <c r="O34" i="2" s="1"/>
  <c r="G7" i="2"/>
  <c r="G6" i="2"/>
  <c r="H4" i="2"/>
  <c r="G4" i="2"/>
  <c r="J38" i="1"/>
  <c r="B38" i="1"/>
  <c r="C38" i="1" s="1"/>
  <c r="J37" i="1"/>
  <c r="B37" i="1"/>
  <c r="C37" i="1" s="1"/>
  <c r="J36" i="1"/>
  <c r="B36" i="1"/>
  <c r="C36" i="1" s="1"/>
  <c r="J35" i="1"/>
  <c r="B35" i="1"/>
  <c r="C35" i="1" s="1"/>
  <c r="J34" i="1"/>
  <c r="B34" i="1"/>
  <c r="C34" i="1" s="1"/>
  <c r="J33" i="1"/>
  <c r="B33" i="1"/>
  <c r="C33" i="1" s="1"/>
  <c r="J32" i="1"/>
  <c r="B32" i="1"/>
  <c r="H11" i="1" s="1"/>
  <c r="J31" i="1"/>
  <c r="B31" i="1"/>
  <c r="C31" i="1" s="1"/>
  <c r="J30" i="1"/>
  <c r="B30" i="1"/>
  <c r="C30" i="1" s="1"/>
  <c r="J29" i="1"/>
  <c r="B29" i="1"/>
  <c r="C29" i="1" s="1"/>
  <c r="J28" i="1"/>
  <c r="E28" i="1"/>
  <c r="F28" i="1" s="1"/>
  <c r="D28" i="1"/>
  <c r="B28" i="1"/>
  <c r="H7" i="1" s="1"/>
  <c r="J27" i="1"/>
  <c r="H27" i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E27" i="1"/>
  <c r="F27" i="1" s="1"/>
  <c r="D27" i="1"/>
  <c r="B27" i="1"/>
  <c r="H6" i="1" s="1"/>
  <c r="G15" i="1"/>
  <c r="G14" i="1"/>
  <c r="G13" i="1"/>
  <c r="E13" i="1"/>
  <c r="Q33" i="1" s="1"/>
  <c r="R33" i="1" s="1"/>
  <c r="G12" i="1"/>
  <c r="G11" i="1"/>
  <c r="G10" i="1"/>
  <c r="G9" i="1"/>
  <c r="G8" i="1"/>
  <c r="E8" i="1"/>
  <c r="O37" i="1" s="1"/>
  <c r="G7" i="1"/>
  <c r="G6" i="1"/>
  <c r="H4" i="1"/>
  <c r="G4" i="1"/>
  <c r="Q38" i="2" l="1"/>
  <c r="R38" i="2" s="1"/>
  <c r="Q31" i="2"/>
  <c r="Q33" i="2"/>
  <c r="Q29" i="2"/>
  <c r="G68" i="2"/>
  <c r="Q34" i="2"/>
  <c r="Q35" i="2"/>
  <c r="Q28" i="2"/>
  <c r="S34" i="2"/>
  <c r="Q37" i="2"/>
  <c r="Q37" i="1"/>
  <c r="R37" i="1" s="1"/>
  <c r="S37" i="1"/>
  <c r="H10" i="1"/>
  <c r="D70" i="2"/>
  <c r="O31" i="2"/>
  <c r="O33" i="2"/>
  <c r="O38" i="2"/>
  <c r="O29" i="2"/>
  <c r="M29" i="3"/>
  <c r="D73" i="2"/>
  <c r="G28" i="1"/>
  <c r="H11" i="2"/>
  <c r="M27" i="3"/>
  <c r="N27" i="3" s="1"/>
  <c r="P27" i="3" s="1"/>
  <c r="H14" i="3"/>
  <c r="H15" i="3"/>
  <c r="H8" i="3"/>
  <c r="H6" i="3"/>
  <c r="H9" i="3"/>
  <c r="H7" i="2"/>
  <c r="D71" i="2"/>
  <c r="H8" i="2"/>
  <c r="C29" i="2"/>
  <c r="D68" i="2"/>
  <c r="H8" i="1"/>
  <c r="G27" i="1"/>
  <c r="D29" i="1"/>
  <c r="E29" i="1"/>
  <c r="C27" i="1"/>
  <c r="K27" i="1" s="1"/>
  <c r="L27" i="1" s="1"/>
  <c r="H14" i="1"/>
  <c r="H15" i="1"/>
  <c r="C32" i="3"/>
  <c r="M28" i="3"/>
  <c r="N28" i="3" s="1"/>
  <c r="P28" i="3" s="1"/>
  <c r="H7" i="3"/>
  <c r="C28" i="3"/>
  <c r="C34" i="3"/>
  <c r="G28" i="3"/>
  <c r="S30" i="3"/>
  <c r="C29" i="3"/>
  <c r="M31" i="3"/>
  <c r="M32" i="3" s="1"/>
  <c r="M33" i="3" s="1"/>
  <c r="M34" i="3" s="1"/>
  <c r="M35" i="3" s="1"/>
  <c r="M36" i="3" s="1"/>
  <c r="M30" i="3"/>
  <c r="D29" i="3"/>
  <c r="E29" i="3"/>
  <c r="C31" i="3"/>
  <c r="S33" i="3"/>
  <c r="S29" i="3"/>
  <c r="S32" i="3"/>
  <c r="G27" i="3"/>
  <c r="L27" i="3" s="1"/>
  <c r="C33" i="3"/>
  <c r="Q36" i="3"/>
  <c r="S36" i="3" s="1"/>
  <c r="Q35" i="3"/>
  <c r="S35" i="3" s="1"/>
  <c r="Q34" i="3"/>
  <c r="S34" i="3" s="1"/>
  <c r="Q33" i="3"/>
  <c r="Q32" i="3"/>
  <c r="Q31" i="3"/>
  <c r="S31" i="3" s="1"/>
  <c r="Q30" i="3"/>
  <c r="Q29" i="3"/>
  <c r="Q28" i="3"/>
  <c r="S28" i="3" s="1"/>
  <c r="Q27" i="3"/>
  <c r="E29" i="2"/>
  <c r="F28" i="2"/>
  <c r="H6" i="2"/>
  <c r="D65" i="2"/>
  <c r="C27" i="2"/>
  <c r="H15" i="2"/>
  <c r="H16" i="2" s="1"/>
  <c r="H17" i="2" s="1"/>
  <c r="C36" i="2"/>
  <c r="C31" i="2"/>
  <c r="H10" i="2"/>
  <c r="D28" i="2"/>
  <c r="F27" i="2"/>
  <c r="G27" i="2" s="1"/>
  <c r="H12" i="2"/>
  <c r="O30" i="2"/>
  <c r="S30" i="2" s="1"/>
  <c r="O35" i="2"/>
  <c r="O27" i="2"/>
  <c r="S27" i="2" s="1"/>
  <c r="O36" i="2"/>
  <c r="O28" i="2"/>
  <c r="O37" i="2"/>
  <c r="S37" i="2" s="1"/>
  <c r="O32" i="2"/>
  <c r="H9" i="2"/>
  <c r="C35" i="2"/>
  <c r="Q32" i="2"/>
  <c r="R32" i="2" s="1"/>
  <c r="C34" i="2"/>
  <c r="H13" i="2"/>
  <c r="Q36" i="2"/>
  <c r="R36" i="2" s="1"/>
  <c r="D66" i="2"/>
  <c r="Q27" i="2"/>
  <c r="O28" i="1"/>
  <c r="H13" i="1"/>
  <c r="Q32" i="1"/>
  <c r="R32" i="1" s="1"/>
  <c r="Q36" i="1"/>
  <c r="R36" i="1" s="1"/>
  <c r="O31" i="1"/>
  <c r="H9" i="1"/>
  <c r="O35" i="1"/>
  <c r="C28" i="1"/>
  <c r="K38" i="1" s="1"/>
  <c r="O30" i="1"/>
  <c r="Q30" i="1"/>
  <c r="R30" i="1" s="1"/>
  <c r="C32" i="1"/>
  <c r="O34" i="1"/>
  <c r="Q28" i="1"/>
  <c r="R28" i="1" s="1"/>
  <c r="O32" i="1"/>
  <c r="S32" i="1" s="1"/>
  <c r="O36" i="1"/>
  <c r="S36" i="1" s="1"/>
  <c r="Q34" i="1"/>
  <c r="R34" i="1" s="1"/>
  <c r="O38" i="1"/>
  <c r="Q38" i="1"/>
  <c r="R38" i="1" s="1"/>
  <c r="O27" i="1"/>
  <c r="Q29" i="1"/>
  <c r="R29" i="1" s="1"/>
  <c r="Q27" i="1"/>
  <c r="R27" i="1" s="1"/>
  <c r="O33" i="1"/>
  <c r="S33" i="1" s="1"/>
  <c r="H12" i="1"/>
  <c r="Q31" i="1"/>
  <c r="R31" i="1" s="1"/>
  <c r="Q35" i="1"/>
  <c r="R35" i="1" s="1"/>
  <c r="O29" i="1"/>
  <c r="S28" i="2" l="1"/>
  <c r="S36" i="2"/>
  <c r="S35" i="2"/>
  <c r="S29" i="2"/>
  <c r="S38" i="2"/>
  <c r="G74" i="2"/>
  <c r="S33" i="2"/>
  <c r="S31" i="2"/>
  <c r="G70" i="2"/>
  <c r="G76" i="2"/>
  <c r="R35" i="2"/>
  <c r="G73" i="2"/>
  <c r="R37" i="2"/>
  <c r="G75" i="2"/>
  <c r="R28" i="2"/>
  <c r="G66" i="2"/>
  <c r="G72" i="2"/>
  <c r="R34" i="2"/>
  <c r="R29" i="2"/>
  <c r="G67" i="2"/>
  <c r="R33" i="2"/>
  <c r="G71" i="2"/>
  <c r="R31" i="2"/>
  <c r="G69" i="2"/>
  <c r="S38" i="1"/>
  <c r="S29" i="1"/>
  <c r="K34" i="1"/>
  <c r="K34" i="3"/>
  <c r="K28" i="3"/>
  <c r="L28" i="3" s="1"/>
  <c r="R27" i="3"/>
  <c r="K31" i="3"/>
  <c r="F29" i="1"/>
  <c r="G29" i="1" s="1"/>
  <c r="E30" i="1"/>
  <c r="D30" i="1"/>
  <c r="D31" i="1" s="1"/>
  <c r="R28" i="3"/>
  <c r="K35" i="3"/>
  <c r="K29" i="3"/>
  <c r="K33" i="3"/>
  <c r="K32" i="3"/>
  <c r="K36" i="3"/>
  <c r="K30" i="3"/>
  <c r="S27" i="3"/>
  <c r="T27" i="3" s="1"/>
  <c r="I6" i="3" s="1"/>
  <c r="E30" i="3"/>
  <c r="F29" i="3"/>
  <c r="G29" i="3" s="1"/>
  <c r="D30" i="3"/>
  <c r="N29" i="3"/>
  <c r="P29" i="3" s="1"/>
  <c r="R29" i="3" s="1"/>
  <c r="K34" i="2"/>
  <c r="K30" i="2"/>
  <c r="K31" i="2"/>
  <c r="K27" i="2"/>
  <c r="L27" i="2" s="1"/>
  <c r="T27" i="2" s="1"/>
  <c r="K32" i="2"/>
  <c r="K36" i="2"/>
  <c r="K35" i="2"/>
  <c r="K37" i="2"/>
  <c r="K29" i="2"/>
  <c r="K28" i="2"/>
  <c r="K38" i="2"/>
  <c r="K33" i="2"/>
  <c r="G65" i="2"/>
  <c r="R27" i="2"/>
  <c r="D29" i="2"/>
  <c r="G28" i="2"/>
  <c r="F29" i="2"/>
  <c r="E30" i="2"/>
  <c r="S32" i="2"/>
  <c r="S31" i="1"/>
  <c r="K35" i="1"/>
  <c r="K32" i="1"/>
  <c r="K33" i="1"/>
  <c r="K29" i="1"/>
  <c r="K30" i="1"/>
  <c r="K31" i="1"/>
  <c r="K36" i="1"/>
  <c r="S35" i="1"/>
  <c r="K28" i="1"/>
  <c r="L28" i="1" s="1"/>
  <c r="K37" i="1"/>
  <c r="S28" i="1"/>
  <c r="S27" i="1"/>
  <c r="S34" i="1"/>
  <c r="S30" i="1"/>
  <c r="V27" i="3" l="1"/>
  <c r="W27" i="3" s="1"/>
  <c r="V28" i="3"/>
  <c r="W28" i="3" s="1"/>
  <c r="T28" i="3"/>
  <c r="I7" i="3" s="1"/>
  <c r="T28" i="1"/>
  <c r="I7" i="1" s="1"/>
  <c r="D32" i="1"/>
  <c r="L29" i="1"/>
  <c r="T29" i="1" s="1"/>
  <c r="I8" i="1" s="1"/>
  <c r="E31" i="1"/>
  <c r="F30" i="1"/>
  <c r="G30" i="1" s="1"/>
  <c r="L30" i="1" s="1"/>
  <c r="T30" i="1" s="1"/>
  <c r="D31" i="3"/>
  <c r="N30" i="3"/>
  <c r="P30" i="3" s="1"/>
  <c r="R30" i="3" s="1"/>
  <c r="L29" i="3"/>
  <c r="E31" i="3"/>
  <c r="F30" i="3"/>
  <c r="G30" i="3" s="1"/>
  <c r="L30" i="3" s="1"/>
  <c r="U27" i="3"/>
  <c r="J6" i="3" s="1"/>
  <c r="L6" i="3" s="1"/>
  <c r="I6" i="2"/>
  <c r="U27" i="2"/>
  <c r="J6" i="2" s="1"/>
  <c r="F30" i="2"/>
  <c r="E31" i="2"/>
  <c r="L28" i="2"/>
  <c r="T28" i="2" s="1"/>
  <c r="G29" i="2"/>
  <c r="L29" i="2" s="1"/>
  <c r="T29" i="2" s="1"/>
  <c r="D30" i="2"/>
  <c r="T27" i="1"/>
  <c r="I6" i="1" s="1"/>
  <c r="U28" i="1" l="1"/>
  <c r="J7" i="1" s="1"/>
  <c r="U28" i="3"/>
  <c r="J7" i="3" s="1"/>
  <c r="U29" i="1"/>
  <c r="J8" i="1" s="1"/>
  <c r="I9" i="1"/>
  <c r="U30" i="1"/>
  <c r="J9" i="1" s="1"/>
  <c r="E32" i="1"/>
  <c r="F31" i="1"/>
  <c r="G31" i="1" s="1"/>
  <c r="L31" i="1" s="1"/>
  <c r="T31" i="1" s="1"/>
  <c r="D33" i="1"/>
  <c r="D34" i="1" s="1"/>
  <c r="D35" i="1" s="1"/>
  <c r="V30" i="3"/>
  <c r="W30" i="3" s="1"/>
  <c r="T30" i="3"/>
  <c r="F31" i="3"/>
  <c r="E32" i="3"/>
  <c r="V29" i="3"/>
  <c r="W29" i="3" s="1"/>
  <c r="T29" i="3"/>
  <c r="G31" i="3"/>
  <c r="L31" i="3" s="1"/>
  <c r="N31" i="3"/>
  <c r="P31" i="3" s="1"/>
  <c r="R31" i="3" s="1"/>
  <c r="D32" i="3"/>
  <c r="G30" i="2"/>
  <c r="L30" i="2" s="1"/>
  <c r="T30" i="2" s="1"/>
  <c r="D31" i="2"/>
  <c r="I8" i="2"/>
  <c r="U29" i="2"/>
  <c r="J8" i="2" s="1"/>
  <c r="I7" i="2"/>
  <c r="U28" i="2"/>
  <c r="J7" i="2" s="1"/>
  <c r="F31" i="2"/>
  <c r="E32" i="2"/>
  <c r="H65" i="2"/>
  <c r="L6" i="2" s="1"/>
  <c r="K6" i="2" s="1"/>
  <c r="U27" i="1"/>
  <c r="J6" i="1" s="1"/>
  <c r="L7" i="3" l="1"/>
  <c r="K7" i="3" s="1"/>
  <c r="I10" i="1"/>
  <c r="U31" i="1"/>
  <c r="J10" i="1" s="1"/>
  <c r="E33" i="1"/>
  <c r="F32" i="1"/>
  <c r="G32" i="1" s="1"/>
  <c r="L32" i="1" s="1"/>
  <c r="T32" i="1" s="1"/>
  <c r="I8" i="3"/>
  <c r="U29" i="3"/>
  <c r="J8" i="3" s="1"/>
  <c r="L8" i="3" s="1"/>
  <c r="I9" i="3"/>
  <c r="U30" i="3"/>
  <c r="J9" i="3" s="1"/>
  <c r="D33" i="3"/>
  <c r="N32" i="3"/>
  <c r="P32" i="3" s="1"/>
  <c r="R32" i="3" s="1"/>
  <c r="T31" i="3"/>
  <c r="V31" i="3"/>
  <c r="W31" i="3" s="1"/>
  <c r="K6" i="3"/>
  <c r="E33" i="3"/>
  <c r="F32" i="3"/>
  <c r="G32" i="3" s="1"/>
  <c r="L32" i="3" s="1"/>
  <c r="E33" i="2"/>
  <c r="F32" i="2"/>
  <c r="H66" i="2"/>
  <c r="L7" i="2" s="1"/>
  <c r="K7" i="2" s="1"/>
  <c r="H67" i="2"/>
  <c r="L8" i="2" s="1"/>
  <c r="K8" i="2" s="1"/>
  <c r="G31" i="2"/>
  <c r="L31" i="2" s="1"/>
  <c r="T31" i="2" s="1"/>
  <c r="D32" i="2"/>
  <c r="I9" i="2"/>
  <c r="U30" i="2"/>
  <c r="J9" i="2" s="1"/>
  <c r="D36" i="1"/>
  <c r="L9" i="3" l="1"/>
  <c r="K9" i="3" s="1"/>
  <c r="E34" i="1"/>
  <c r="F33" i="1"/>
  <c r="G33" i="1" s="1"/>
  <c r="L33" i="1" s="1"/>
  <c r="T33" i="1" s="1"/>
  <c r="I11" i="1"/>
  <c r="U32" i="1"/>
  <c r="J11" i="1" s="1"/>
  <c r="T32" i="3"/>
  <c r="V32" i="3"/>
  <c r="W32" i="3" s="1"/>
  <c r="E34" i="3"/>
  <c r="F33" i="3"/>
  <c r="G33" i="3" s="1"/>
  <c r="L33" i="3" s="1"/>
  <c r="I10" i="3"/>
  <c r="U31" i="3"/>
  <c r="J10" i="3" s="1"/>
  <c r="D34" i="3"/>
  <c r="N33" i="3"/>
  <c r="P33" i="3" s="1"/>
  <c r="R33" i="3" s="1"/>
  <c r="I10" i="2"/>
  <c r="U31" i="2"/>
  <c r="J10" i="2" s="1"/>
  <c r="D33" i="2"/>
  <c r="G32" i="2"/>
  <c r="L32" i="2" s="1"/>
  <c r="T32" i="2" s="1"/>
  <c r="F33" i="2"/>
  <c r="E34" i="2"/>
  <c r="H68" i="2"/>
  <c r="L9" i="2" s="1"/>
  <c r="K9" i="2" s="1"/>
  <c r="D37" i="1"/>
  <c r="L10" i="3" l="1"/>
  <c r="K10" i="3" s="1"/>
  <c r="I12" i="1"/>
  <c r="U33" i="1"/>
  <c r="J12" i="1" s="1"/>
  <c r="E35" i="1"/>
  <c r="F34" i="1"/>
  <c r="G34" i="1" s="1"/>
  <c r="L34" i="1" s="1"/>
  <c r="T34" i="1" s="1"/>
  <c r="K8" i="3"/>
  <c r="D35" i="3"/>
  <c r="N34" i="3"/>
  <c r="P34" i="3" s="1"/>
  <c r="R34" i="3" s="1"/>
  <c r="T33" i="3"/>
  <c r="V33" i="3"/>
  <c r="W33" i="3" s="1"/>
  <c r="F34" i="3"/>
  <c r="G34" i="3" s="1"/>
  <c r="L34" i="3" s="1"/>
  <c r="E35" i="3"/>
  <c r="I11" i="3"/>
  <c r="U32" i="3"/>
  <c r="J11" i="3" s="1"/>
  <c r="L11" i="3" s="1"/>
  <c r="E35" i="2"/>
  <c r="F34" i="2"/>
  <c r="I11" i="2"/>
  <c r="U32" i="2"/>
  <c r="J11" i="2" s="1"/>
  <c r="G33" i="2"/>
  <c r="L33" i="2" s="1"/>
  <c r="T33" i="2" s="1"/>
  <c r="D34" i="2"/>
  <c r="H69" i="2"/>
  <c r="L10" i="2" s="1"/>
  <c r="K10" i="2" s="1"/>
  <c r="D38" i="1"/>
  <c r="I13" i="1" l="1"/>
  <c r="U34" i="1"/>
  <c r="J13" i="1" s="1"/>
  <c r="E36" i="1"/>
  <c r="F35" i="1"/>
  <c r="G35" i="1" s="1"/>
  <c r="L35" i="1" s="1"/>
  <c r="T35" i="1" s="1"/>
  <c r="T34" i="3"/>
  <c r="V34" i="3"/>
  <c r="W34" i="3" s="1"/>
  <c r="I12" i="3"/>
  <c r="U33" i="3"/>
  <c r="J12" i="3" s="1"/>
  <c r="F35" i="3"/>
  <c r="G35" i="3" s="1"/>
  <c r="L35" i="3" s="1"/>
  <c r="E36" i="3"/>
  <c r="F36" i="3" s="1"/>
  <c r="N35" i="3"/>
  <c r="P35" i="3" s="1"/>
  <c r="R35" i="3" s="1"/>
  <c r="D36" i="3"/>
  <c r="D35" i="2"/>
  <c r="G34" i="2"/>
  <c r="L34" i="2" s="1"/>
  <c r="T34" i="2" s="1"/>
  <c r="I12" i="2"/>
  <c r="U33" i="2"/>
  <c r="J12" i="2" s="1"/>
  <c r="H70" i="2"/>
  <c r="L11" i="2" s="1"/>
  <c r="K11" i="2" s="1"/>
  <c r="F35" i="2"/>
  <c r="E36" i="2"/>
  <c r="L12" i="3" l="1"/>
  <c r="K12" i="3" s="1"/>
  <c r="I14" i="1"/>
  <c r="U35" i="1"/>
  <c r="J14" i="1" s="1"/>
  <c r="F36" i="1"/>
  <c r="G36" i="1" s="1"/>
  <c r="L36" i="1" s="1"/>
  <c r="T36" i="1" s="1"/>
  <c r="E37" i="1"/>
  <c r="G36" i="3"/>
  <c r="L36" i="3" s="1"/>
  <c r="N36" i="3"/>
  <c r="P36" i="3" s="1"/>
  <c r="R36" i="3" s="1"/>
  <c r="T35" i="3"/>
  <c r="V35" i="3"/>
  <c r="W35" i="3" s="1"/>
  <c r="K11" i="3"/>
  <c r="I13" i="3"/>
  <c r="U34" i="3"/>
  <c r="J13" i="3" s="1"/>
  <c r="L13" i="3" s="1"/>
  <c r="E37" i="2"/>
  <c r="F36" i="2"/>
  <c r="H71" i="2"/>
  <c r="L12" i="2"/>
  <c r="K12" i="2" s="1"/>
  <c r="I13" i="2"/>
  <c r="U34" i="2"/>
  <c r="J13" i="2" s="1"/>
  <c r="G35" i="2"/>
  <c r="L35" i="2" s="1"/>
  <c r="T35" i="2" s="1"/>
  <c r="D36" i="2"/>
  <c r="F37" i="1" l="1"/>
  <c r="G37" i="1" s="1"/>
  <c r="L37" i="1" s="1"/>
  <c r="T37" i="1" s="1"/>
  <c r="U37" i="1" s="1"/>
  <c r="E38" i="1"/>
  <c r="F38" i="1" s="1"/>
  <c r="G38" i="1" s="1"/>
  <c r="L38" i="1" s="1"/>
  <c r="T38" i="1" s="1"/>
  <c r="U38" i="1" s="1"/>
  <c r="I15" i="1"/>
  <c r="I16" i="1" s="1"/>
  <c r="U36" i="1"/>
  <c r="J15" i="1" s="1"/>
  <c r="J16" i="1" s="1"/>
  <c r="I14" i="3"/>
  <c r="U35" i="3"/>
  <c r="J14" i="3" s="1"/>
  <c r="V36" i="3"/>
  <c r="W36" i="3" s="1"/>
  <c r="T36" i="3"/>
  <c r="I14" i="2"/>
  <c r="U35" i="2"/>
  <c r="J14" i="2" s="1"/>
  <c r="H72" i="2"/>
  <c r="L13" i="2" s="1"/>
  <c r="K13" i="2" s="1"/>
  <c r="D37" i="2"/>
  <c r="G36" i="2"/>
  <c r="L36" i="2" s="1"/>
  <c r="T36" i="2" s="1"/>
  <c r="E38" i="2"/>
  <c r="F38" i="2" s="1"/>
  <c r="F37" i="2"/>
  <c r="L14" i="3" l="1"/>
  <c r="K14" i="3" s="1"/>
  <c r="I15" i="3"/>
  <c r="I16" i="3" s="1"/>
  <c r="U36" i="3"/>
  <c r="J15" i="3" s="1"/>
  <c r="K13" i="3"/>
  <c r="I15" i="2"/>
  <c r="I18" i="2" s="1"/>
  <c r="U36" i="2"/>
  <c r="J15" i="2" s="1"/>
  <c r="D38" i="2"/>
  <c r="G38" i="2" s="1"/>
  <c r="L38" i="2" s="1"/>
  <c r="T38" i="2" s="1"/>
  <c r="G37" i="2"/>
  <c r="L37" i="2" s="1"/>
  <c r="T37" i="2" s="1"/>
  <c r="H73" i="2"/>
  <c r="L14" i="2" s="1"/>
  <c r="K14" i="2" s="1"/>
  <c r="L15" i="3" l="1"/>
  <c r="K15" i="3" s="1"/>
  <c r="K16" i="3" s="1"/>
  <c r="J16" i="3"/>
  <c r="L16" i="3"/>
  <c r="I17" i="2"/>
  <c r="U38" i="2"/>
  <c r="J17" i="2" s="1"/>
  <c r="H74" i="2"/>
  <c r="L15" i="2" s="1"/>
  <c r="K15" i="2" s="1"/>
  <c r="J18" i="2"/>
  <c r="I16" i="2"/>
  <c r="U37" i="2"/>
  <c r="J16" i="2" s="1"/>
  <c r="H76" i="2" l="1"/>
  <c r="L17" i="2" s="1"/>
  <c r="K17" i="2" s="1"/>
  <c r="H75" i="2"/>
  <c r="L16" i="2"/>
  <c r="K16" i="2" s="1"/>
  <c r="K18" i="2" l="1"/>
  <c r="L18" i="2"/>
</calcChain>
</file>

<file path=xl/sharedStrings.xml><?xml version="1.0" encoding="utf-8"?>
<sst xmlns="http://schemas.openxmlformats.org/spreadsheetml/2006/main" count="214" uniqueCount="93">
  <si>
    <t>LRAP Calculator For Graduate</t>
  </si>
  <si>
    <t>FINANCIAL AND LOAN INFORMATION</t>
  </si>
  <si>
    <t>CALCULATION</t>
  </si>
  <si>
    <t>Stanford LRAP</t>
  </si>
  <si>
    <t>LRAP Changes for ISL Program</t>
  </si>
  <si>
    <t>Graduation Year</t>
  </si>
  <si>
    <t>IBR_Elgible Loans - Principal</t>
  </si>
  <si>
    <t>Graduate</t>
  </si>
  <si>
    <t>SLS</t>
  </si>
  <si>
    <t>Increase LRAP from 10-12 years</t>
  </si>
  <si>
    <t>Year Enter Program</t>
  </si>
  <si>
    <t>IBR_Elgible Loans - Term (Years)</t>
  </si>
  <si>
    <t>Include all employment in LRAP</t>
  </si>
  <si>
    <t>Year Exit Program</t>
  </si>
  <si>
    <t>IBR_Elgible Loans - Interest Rate</t>
  </si>
  <si>
    <t>Does not include spousal income</t>
  </si>
  <si>
    <t>IBR_Elgible Loans - Monthly Payment</t>
  </si>
  <si>
    <t>Starting Salary (Full Time $)</t>
  </si>
  <si>
    <t>Interest Rate calculator does not</t>
  </si>
  <si>
    <t>Annual Salary Increase (%)</t>
  </si>
  <si>
    <t>Other Loans - Principal</t>
  </si>
  <si>
    <t>include origination fees or</t>
  </si>
  <si>
    <t>Other Loans - Term (Years)</t>
  </si>
  <si>
    <t>accrued interest</t>
  </si>
  <si>
    <t>Married? (Yes/No)</t>
  </si>
  <si>
    <t>no</t>
  </si>
  <si>
    <t>Other Loans - Interest Rate</t>
  </si>
  <si>
    <t>Spouse Income (Full Time $)</t>
  </si>
  <si>
    <t>Other Loans - Monthly Payment</t>
  </si>
  <si>
    <t>Spouse Annual Salary Increase (%)</t>
  </si>
  <si>
    <t xml:space="preserve">Projection - changes salary </t>
  </si>
  <si>
    <t>Spouse' Monthly Loan Payments</t>
  </si>
  <si>
    <t>over $105,000 from 100% to 75%</t>
  </si>
  <si>
    <t>Total</t>
  </si>
  <si>
    <t>Number of Children</t>
  </si>
  <si>
    <t>ISA Principal</t>
  </si>
  <si>
    <t>Other Income ($)</t>
  </si>
  <si>
    <t>Other Income Annual Increase (%)</t>
  </si>
  <si>
    <t>actual cost with</t>
  </si>
  <si>
    <t>origination fees</t>
  </si>
  <si>
    <t>Net Assets ($)</t>
  </si>
  <si>
    <t>and interest for</t>
  </si>
  <si>
    <t>$170,000 loan</t>
  </si>
  <si>
    <t>Year(s) Since Graduation</t>
  </si>
  <si>
    <t>Calendar Year</t>
  </si>
  <si>
    <t>In Program?</t>
  </si>
  <si>
    <t>Full Time Salary</t>
  </si>
  <si>
    <t>Spouse Salary</t>
  </si>
  <si>
    <t>Spouse Salary - Loan Payments</t>
  </si>
  <si>
    <t>Salary Counted</t>
  </si>
  <si>
    <t>Other Taxable Income</t>
  </si>
  <si>
    <t>Assets Counted Towards Income</t>
  </si>
  <si>
    <t>Dependents' Allowance</t>
  </si>
  <si>
    <t>Seniority Adjustment</t>
  </si>
  <si>
    <t>Stanford-Defined Income</t>
  </si>
  <si>
    <t>IBR Eligible Payments</t>
  </si>
  <si>
    <t>Other Payments</t>
  </si>
  <si>
    <t xml:space="preserve">Total Payments </t>
  </si>
  <si>
    <t xml:space="preserve">Total Payments Due </t>
  </si>
  <si>
    <t>LRAP Graduate Pays</t>
  </si>
  <si>
    <t>LRAP Stanford Pays</t>
  </si>
  <si>
    <t>LRAP Terms:</t>
  </si>
  <si>
    <t>LRAP/2023</t>
  </si>
  <si>
    <t>New Program</t>
  </si>
  <si>
    <t>Graduate Pays</t>
  </si>
  <si>
    <t>New</t>
  </si>
  <si>
    <t>If adjusted income is under…</t>
  </si>
  <si>
    <t>plus</t>
  </si>
  <si>
    <t>Over $105,000</t>
  </si>
  <si>
    <t>PLAN COMPARISON</t>
  </si>
  <si>
    <t>ISL (Flywheel)</t>
  </si>
  <si>
    <t>ISA Payment</t>
  </si>
  <si>
    <t>Calander Year</t>
  </si>
  <si>
    <t>Payment</t>
  </si>
  <si>
    <t>ISA Pyment</t>
  </si>
  <si>
    <t>LRAP pay</t>
  </si>
  <si>
    <t>Government (PSLF)</t>
  </si>
  <si>
    <t>150% of Poverty Line</t>
  </si>
  <si>
    <t>IBR's "Discretionary Income"</t>
  </si>
  <si>
    <t>IBR Payment Cap</t>
  </si>
  <si>
    <t>Total Payments Due w/ IBR</t>
  </si>
  <si>
    <t>Total Payments Due w/o IBR</t>
  </si>
  <si>
    <t>Proposed LRAP Graduate Pays</t>
  </si>
  <si>
    <t>Proposed LRAP Stanford Pays</t>
  </si>
  <si>
    <t>LRAP/IBR-75</t>
  </si>
  <si>
    <t>New FY23</t>
  </si>
  <si>
    <t>students pay x%</t>
  </si>
  <si>
    <t>of income…</t>
  </si>
  <si>
    <t>over…</t>
  </si>
  <si>
    <t>else</t>
  </si>
  <si>
    <t>Family Size</t>
  </si>
  <si>
    <t>For families/households with more than 8 persons, add the following for each additional person.</t>
  </si>
  <si>
    <t>Poverty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</si>
</sst>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0.0%"/>
    <numFmt numFmtId="167" formatCode="_(&quot;$&quot;* #,##0_);_(&quot;$&quot;* \(#,##0\);_(&quot;$&quot;* &quot;-&quot;??_);_(@_)"/>
    <numFmt numFmtId="168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sz val="14"/>
      <name val="Calibri"/>
      <family val="2"/>
    </font>
    <font>
      <sz val="14"/>
      <color theme="0" tint="-4.9989318521683403E-2"/>
      <name val="Calibri"/>
      <family val="2"/>
    </font>
    <font>
      <sz val="14"/>
      <color theme="4" tint="0.79998168889431442"/>
      <name val="Calibri"/>
      <family val="2"/>
    </font>
    <font>
      <sz val="14"/>
      <color theme="2"/>
      <name val="Calibri"/>
      <family val="2"/>
    </font>
    <font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4" borderId="0" xfId="0" applyFont="1" applyFill="1"/>
    <xf numFmtId="0" fontId="3" fillId="4" borderId="0" xfId="0" applyFont="1" applyFill="1"/>
    <xf numFmtId="0" fontId="2" fillId="5" borderId="4" xfId="0" applyFont="1" applyFill="1" applyBorder="1"/>
    <xf numFmtId="0" fontId="2" fillId="5" borderId="0" xfId="0" applyFont="1" applyFill="1"/>
    <xf numFmtId="0" fontId="2" fillId="5" borderId="5" xfId="0" applyFont="1" applyFill="1" applyBorder="1"/>
    <xf numFmtId="0" fontId="3" fillId="6" borderId="6" xfId="0" applyFont="1" applyFill="1" applyBorder="1" applyAlignment="1">
      <alignment wrapText="1"/>
    </xf>
    <xf numFmtId="0" fontId="3" fillId="6" borderId="7" xfId="0" applyFont="1" applyFill="1" applyBorder="1" applyAlignment="1">
      <alignment horizontal="center" wrapText="1"/>
    </xf>
    <xf numFmtId="0" fontId="4" fillId="0" borderId="8" xfId="0" applyFont="1" applyBorder="1"/>
    <xf numFmtId="0" fontId="4" fillId="0" borderId="7" xfId="0" applyFont="1" applyBorder="1"/>
    <xf numFmtId="0" fontId="3" fillId="5" borderId="4" xfId="0" applyFont="1" applyFill="1" applyBorder="1"/>
    <xf numFmtId="0" fontId="3" fillId="7" borderId="6" xfId="0" applyFont="1" applyFill="1" applyBorder="1"/>
    <xf numFmtId="0" fontId="3" fillId="5" borderId="0" xfId="0" applyFont="1" applyFill="1"/>
    <xf numFmtId="164" fontId="3" fillId="7" borderId="6" xfId="0" applyNumberFormat="1" applyFont="1" applyFill="1" applyBorder="1"/>
    <xf numFmtId="0" fontId="3" fillId="6" borderId="9" xfId="0" applyFont="1" applyFill="1" applyBorder="1"/>
    <xf numFmtId="0" fontId="3" fillId="6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/>
    <xf numFmtId="0" fontId="3" fillId="6" borderId="0" xfId="0" applyFont="1" applyFill="1" applyAlignment="1">
      <alignment horizontal="center"/>
    </xf>
    <xf numFmtId="164" fontId="3" fillId="7" borderId="4" xfId="0" applyNumberFormat="1" applyFont="1" applyFill="1" applyBorder="1"/>
    <xf numFmtId="164" fontId="3" fillId="6" borderId="11" xfId="0" applyNumberFormat="1" applyFont="1" applyFill="1" applyBorder="1"/>
    <xf numFmtId="10" fontId="3" fillId="7" borderId="6" xfId="0" applyNumberFormat="1" applyFont="1" applyFill="1" applyBorder="1"/>
    <xf numFmtId="0" fontId="5" fillId="0" borderId="12" xfId="0" applyFont="1" applyBorder="1"/>
    <xf numFmtId="0" fontId="3" fillId="0" borderId="13" xfId="0" applyFont="1" applyBorder="1"/>
    <xf numFmtId="165" fontId="6" fillId="5" borderId="5" xfId="0" applyNumberFormat="1" applyFont="1" applyFill="1" applyBorder="1"/>
    <xf numFmtId="0" fontId="3" fillId="5" borderId="5" xfId="0" applyFont="1" applyFill="1" applyBorder="1"/>
    <xf numFmtId="0" fontId="5" fillId="0" borderId="1" xfId="0" applyFont="1" applyBorder="1"/>
    <xf numFmtId="0" fontId="5" fillId="0" borderId="3" xfId="0" applyFont="1" applyBorder="1"/>
    <xf numFmtId="166" fontId="3" fillId="7" borderId="6" xfId="0" applyNumberFormat="1" applyFont="1" applyFill="1" applyBorder="1"/>
    <xf numFmtId="0" fontId="5" fillId="0" borderId="5" xfId="0" applyFont="1" applyBorder="1"/>
    <xf numFmtId="0" fontId="5" fillId="0" borderId="13" xfId="0" applyFont="1" applyBorder="1"/>
    <xf numFmtId="0" fontId="3" fillId="7" borderId="6" xfId="0" applyFont="1" applyFill="1" applyBorder="1" applyAlignment="1">
      <alignment horizontal="right"/>
    </xf>
    <xf numFmtId="165" fontId="3" fillId="5" borderId="5" xfId="0" applyNumberFormat="1" applyFont="1" applyFill="1" applyBorder="1"/>
    <xf numFmtId="0" fontId="3" fillId="0" borderId="3" xfId="0" applyFont="1" applyBorder="1"/>
    <xf numFmtId="6" fontId="3" fillId="7" borderId="6" xfId="0" applyNumberFormat="1" applyFont="1" applyFill="1" applyBorder="1"/>
    <xf numFmtId="0" fontId="6" fillId="5" borderId="4" xfId="0" applyFont="1" applyFill="1" applyBorder="1"/>
    <xf numFmtId="0" fontId="6" fillId="5" borderId="0" xfId="0" applyFont="1" applyFill="1"/>
    <xf numFmtId="164" fontId="3" fillId="7" borderId="8" xfId="0" applyNumberFormat="1" applyFont="1" applyFill="1" applyBorder="1"/>
    <xf numFmtId="164" fontId="3" fillId="6" borderId="14" xfId="0" applyNumberFormat="1" applyFont="1" applyFill="1" applyBorder="1"/>
    <xf numFmtId="167" fontId="3" fillId="7" borderId="6" xfId="1" applyNumberFormat="1" applyFont="1" applyFill="1" applyBorder="1"/>
    <xf numFmtId="0" fontId="7" fillId="0" borderId="0" xfId="0" applyFont="1"/>
    <xf numFmtId="0" fontId="3" fillId="0" borderId="0" xfId="0" applyFont="1" applyBorder="1"/>
    <xf numFmtId="0" fontId="5" fillId="0" borderId="2" xfId="0" applyFont="1" applyBorder="1"/>
    <xf numFmtId="167" fontId="5" fillId="0" borderId="3" xfId="1" applyNumberFormat="1" applyFont="1" applyBorder="1"/>
    <xf numFmtId="164" fontId="3" fillId="0" borderId="0" xfId="0" applyNumberFormat="1" applyFont="1"/>
    <xf numFmtId="0" fontId="5" fillId="0" borderId="0" xfId="0" applyFont="1"/>
    <xf numFmtId="44" fontId="5" fillId="0" borderId="5" xfId="1" applyFont="1" applyBorder="1"/>
    <xf numFmtId="0" fontId="3" fillId="5" borderId="12" xfId="0" applyFont="1" applyFill="1" applyBorder="1"/>
    <xf numFmtId="0" fontId="3" fillId="5" borderId="15" xfId="0" applyFont="1" applyFill="1" applyBorder="1"/>
    <xf numFmtId="0" fontId="3" fillId="5" borderId="13" xfId="0" applyFont="1" applyFill="1" applyBorder="1"/>
    <xf numFmtId="0" fontId="5" fillId="0" borderId="15" xfId="0" applyFont="1" applyBorder="1"/>
    <xf numFmtId="0" fontId="3" fillId="8" borderId="0" xfId="0" applyFont="1" applyFill="1"/>
    <xf numFmtId="0" fontId="3" fillId="0" borderId="0" xfId="0" applyFont="1" applyAlignment="1">
      <alignment wrapText="1"/>
    </xf>
    <xf numFmtId="6" fontId="3" fillId="0" borderId="0" xfId="0" applyNumberFormat="1" applyFont="1"/>
    <xf numFmtId="0" fontId="3" fillId="0" borderId="2" xfId="0" applyFont="1" applyBorder="1"/>
    <xf numFmtId="0" fontId="5" fillId="0" borderId="1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6" xfId="0" applyFont="1" applyBorder="1"/>
    <xf numFmtId="0" fontId="3" fillId="0" borderId="4" xfId="0" applyFont="1" applyBorder="1"/>
    <xf numFmtId="0" fontId="3" fillId="0" borderId="16" xfId="0" applyFont="1" applyBorder="1"/>
    <xf numFmtId="0" fontId="3" fillId="0" borderId="9" xfId="0" applyFont="1" applyBorder="1"/>
    <xf numFmtId="164" fontId="3" fillId="0" borderId="4" xfId="0" applyNumberFormat="1" applyFont="1" applyBorder="1"/>
    <xf numFmtId="164" fontId="3" fillId="0" borderId="9" xfId="0" applyNumberFormat="1" applyFont="1" applyBorder="1"/>
    <xf numFmtId="9" fontId="3" fillId="0" borderId="0" xfId="0" applyNumberFormat="1" applyFont="1"/>
    <xf numFmtId="0" fontId="3" fillId="0" borderId="12" xfId="0" applyFont="1" applyBorder="1" applyAlignment="1">
      <alignment horizontal="right"/>
    </xf>
    <xf numFmtId="0" fontId="3" fillId="0" borderId="17" xfId="0" applyFont="1" applyBorder="1"/>
    <xf numFmtId="9" fontId="3" fillId="0" borderId="15" xfId="0" applyNumberFormat="1" applyFont="1" applyBorder="1"/>
    <xf numFmtId="164" fontId="3" fillId="0" borderId="15" xfId="0" applyNumberFormat="1" applyFont="1" applyBorder="1"/>
    <xf numFmtId="164" fontId="3" fillId="0" borderId="17" xfId="0" applyNumberFormat="1" applyFont="1" applyBorder="1"/>
    <xf numFmtId="0" fontId="3" fillId="6" borderId="4" xfId="0" applyFont="1" applyFill="1" applyBorder="1"/>
    <xf numFmtId="0" fontId="6" fillId="6" borderId="4" xfId="0" applyFont="1" applyFill="1" applyBorder="1" applyAlignment="1">
      <alignment horizontal="center"/>
    </xf>
    <xf numFmtId="164" fontId="8" fillId="7" borderId="18" xfId="0" applyNumberFormat="1" applyFont="1" applyFill="1" applyBorder="1"/>
    <xf numFmtId="164" fontId="9" fillId="6" borderId="11" xfId="0" applyNumberFormat="1" applyFont="1" applyFill="1" applyBorder="1"/>
    <xf numFmtId="164" fontId="8" fillId="7" borderId="19" xfId="0" applyNumberFormat="1" applyFont="1" applyFill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6" fontId="3" fillId="0" borderId="0" xfId="0" applyNumberFormat="1" applyFont="1" applyAlignment="1">
      <alignment vertical="center" wrapText="1"/>
    </xf>
    <xf numFmtId="0" fontId="3" fillId="0" borderId="6" xfId="0" applyFont="1" applyBorder="1"/>
    <xf numFmtId="164" fontId="3" fillId="0" borderId="6" xfId="0" applyNumberFormat="1" applyFont="1" applyBorder="1"/>
    <xf numFmtId="0" fontId="3" fillId="0" borderId="6" xfId="0" quotePrefix="1" applyFont="1" applyBorder="1"/>
    <xf numFmtId="0" fontId="3" fillId="0" borderId="0" xfId="0" applyFont="1" applyAlignment="1">
      <alignment horizontal="center"/>
    </xf>
    <xf numFmtId="164" fontId="3" fillId="6" borderId="11" xfId="0" applyNumberFormat="1" applyFont="1" applyFill="1" applyBorder="1" applyAlignment="1">
      <alignment horizontal="right"/>
    </xf>
    <xf numFmtId="0" fontId="3" fillId="6" borderId="17" xfId="0" applyFont="1" applyFill="1" applyBorder="1"/>
    <xf numFmtId="0" fontId="3" fillId="0" borderId="12" xfId="0" applyFont="1" applyBorder="1"/>
    <xf numFmtId="0" fontId="3" fillId="0" borderId="15" xfId="0" applyFont="1" applyBorder="1"/>
    <xf numFmtId="0" fontId="5" fillId="0" borderId="2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3" fillId="0" borderId="20" xfId="0" applyFont="1" applyBorder="1" applyAlignment="1">
      <alignment vertical="center" wrapText="1"/>
    </xf>
    <xf numFmtId="6" fontId="3" fillId="0" borderId="6" xfId="0" applyNumberFormat="1" applyFont="1" applyBorder="1"/>
    <xf numFmtId="0" fontId="3" fillId="0" borderId="21" xfId="0" applyFont="1" applyBorder="1" applyAlignment="1">
      <alignment vertical="center" wrapText="1"/>
    </xf>
    <xf numFmtId="168" fontId="3" fillId="0" borderId="6" xfId="2" applyNumberFormat="1" applyFont="1" applyBorder="1"/>
    <xf numFmtId="0" fontId="5" fillId="0" borderId="0" xfId="0" applyFont="1" applyBorder="1"/>
    <xf numFmtId="164" fontId="3" fillId="0" borderId="0" xfId="0" applyNumberFormat="1" applyFont="1" applyBorder="1"/>
    <xf numFmtId="9" fontId="3" fillId="0" borderId="0" xfId="2" applyFont="1" applyBorder="1"/>
    <xf numFmtId="167" fontId="3" fillId="7" borderId="4" xfId="1" applyNumberFormat="1" applyFont="1" applyFill="1" applyBorder="1" applyAlignment="1">
      <alignment horizontal="right"/>
    </xf>
    <xf numFmtId="0" fontId="3" fillId="6" borderId="8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right" vertical="center"/>
    </xf>
    <xf numFmtId="164" fontId="3" fillId="0" borderId="17" xfId="0" applyNumberFormat="1" applyFont="1" applyBorder="1" applyAlignment="1">
      <alignment horizontal="righ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23CF9-135D-4A3E-AE9A-35E6CDECD893}">
  <dimension ref="A1:W48"/>
  <sheetViews>
    <sheetView zoomScale="66" zoomScaleNormal="66" workbookViewId="0"/>
  </sheetViews>
  <sheetFormatPr defaultColWidth="9.15625" defaultRowHeight="18.3" outlineLevelRow="1" x14ac:dyDescent="0.7"/>
  <cols>
    <col min="1" max="1" width="42.15625" style="2" customWidth="1"/>
    <col min="2" max="2" width="19.26171875" style="2" customWidth="1"/>
    <col min="3" max="3" width="11" style="2" customWidth="1"/>
    <col min="4" max="4" width="45.20703125" style="2" customWidth="1"/>
    <col min="5" max="5" width="16" style="2" customWidth="1"/>
    <col min="6" max="6" width="13.68359375" style="2" customWidth="1"/>
    <col min="7" max="7" width="12.578125" style="2" customWidth="1"/>
    <col min="8" max="8" width="12.15625" style="2" customWidth="1"/>
    <col min="9" max="9" width="14.68359375" style="2" customWidth="1"/>
    <col min="10" max="10" width="13.578125" style="2" customWidth="1"/>
    <col min="11" max="11" width="14.68359375" style="2" customWidth="1"/>
    <col min="12" max="12" width="18.734375" style="2" customWidth="1"/>
    <col min="13" max="13" width="17.5234375" style="2" customWidth="1"/>
    <col min="14" max="14" width="13.3671875" style="2" customWidth="1"/>
    <col min="15" max="15" width="11.41796875" style="2" customWidth="1"/>
    <col min="16" max="16" width="10.578125" style="2" customWidth="1"/>
    <col min="17" max="17" width="11.68359375" style="2" customWidth="1"/>
    <col min="18" max="18" width="12.68359375" style="2" customWidth="1"/>
    <col min="19" max="19" width="13.578125" style="2" customWidth="1"/>
    <col min="20" max="20" width="12.68359375" style="2" customWidth="1"/>
    <col min="21" max="21" width="12.41796875" style="2" customWidth="1"/>
    <col min="22" max="22" width="12.15625" style="2" customWidth="1"/>
    <col min="23" max="23" width="13.578125" style="2" customWidth="1"/>
    <col min="24" max="16384" width="9.15625" style="2"/>
  </cols>
  <sheetData>
    <row r="1" spans="1:13" x14ac:dyDescent="0.7">
      <c r="A1" s="1" t="s">
        <v>0</v>
      </c>
      <c r="B1" s="1"/>
      <c r="C1" s="1"/>
      <c r="D1" s="1"/>
      <c r="E1" s="1"/>
    </row>
    <row r="3" spans="1:13" x14ac:dyDescent="0.7">
      <c r="A3" s="3" t="s">
        <v>1</v>
      </c>
      <c r="B3" s="4"/>
      <c r="C3" s="4"/>
      <c r="D3" s="4"/>
      <c r="E3" s="5"/>
      <c r="G3" s="6" t="s">
        <v>2</v>
      </c>
      <c r="H3" s="7"/>
      <c r="I3" s="7"/>
      <c r="J3" s="7"/>
    </row>
    <row r="4" spans="1:13" ht="55.2" x14ac:dyDescent="0.75">
      <c r="A4" s="8"/>
      <c r="B4" s="9"/>
      <c r="C4" s="9"/>
      <c r="D4" s="9"/>
      <c r="E4" s="10"/>
      <c r="G4" s="11" t="str">
        <f>A26</f>
        <v>Year(s) Since Graduation</v>
      </c>
      <c r="H4" s="12" t="str">
        <f>B26</f>
        <v>Calendar Year</v>
      </c>
      <c r="I4" s="104" t="s">
        <v>3</v>
      </c>
      <c r="J4" s="105"/>
      <c r="L4" s="13" t="s">
        <v>4</v>
      </c>
      <c r="M4" s="14"/>
    </row>
    <row r="5" spans="1:13" x14ac:dyDescent="0.7">
      <c r="A5" s="15" t="s">
        <v>5</v>
      </c>
      <c r="B5" s="16">
        <v>2025</v>
      </c>
      <c r="C5" s="17"/>
      <c r="D5" s="17" t="s">
        <v>6</v>
      </c>
      <c r="E5" s="18">
        <v>170000</v>
      </c>
      <c r="G5" s="19"/>
      <c r="H5" s="20"/>
      <c r="I5" s="21" t="s">
        <v>7</v>
      </c>
      <c r="J5" s="22" t="s">
        <v>8</v>
      </c>
      <c r="L5" s="23" t="s">
        <v>9</v>
      </c>
      <c r="M5" s="24"/>
    </row>
    <row r="6" spans="1:13" x14ac:dyDescent="0.7">
      <c r="A6" s="15" t="s">
        <v>10</v>
      </c>
      <c r="B6" s="16">
        <v>2025</v>
      </c>
      <c r="C6" s="17"/>
      <c r="D6" s="17" t="s">
        <v>11</v>
      </c>
      <c r="E6" s="16">
        <v>10</v>
      </c>
      <c r="G6" s="19">
        <f t="shared" ref="G6:H15" si="0">A27</f>
        <v>1</v>
      </c>
      <c r="H6" s="25">
        <f t="shared" si="0"/>
        <v>2026</v>
      </c>
      <c r="I6" s="26">
        <f>T27</f>
        <v>8750</v>
      </c>
      <c r="J6" s="27">
        <f t="shared" ref="J6:J15" si="1">U27</f>
        <v>14413.787352885487</v>
      </c>
      <c r="L6" s="23" t="s">
        <v>12</v>
      </c>
      <c r="M6" s="24"/>
    </row>
    <row r="7" spans="1:13" x14ac:dyDescent="0.7">
      <c r="A7" s="15" t="s">
        <v>13</v>
      </c>
      <c r="B7" s="16">
        <v>2037</v>
      </c>
      <c r="C7" s="17"/>
      <c r="D7" s="17" t="s">
        <v>14</v>
      </c>
      <c r="E7" s="28">
        <v>6.5000000000000002E-2</v>
      </c>
      <c r="G7" s="19">
        <f t="shared" si="0"/>
        <v>2</v>
      </c>
      <c r="H7" s="25">
        <f t="shared" si="0"/>
        <v>2027</v>
      </c>
      <c r="I7" s="26">
        <f t="shared" ref="I7:I15" si="2">T28</f>
        <v>8000</v>
      </c>
      <c r="J7" s="27">
        <f t="shared" si="1"/>
        <v>15163.787352885487</v>
      </c>
      <c r="L7" s="29" t="s">
        <v>15</v>
      </c>
      <c r="M7" s="30"/>
    </row>
    <row r="8" spans="1:13" x14ac:dyDescent="0.7">
      <c r="A8" s="15"/>
      <c r="B8" s="17"/>
      <c r="C8" s="17"/>
      <c r="D8" s="17" t="s">
        <v>16</v>
      </c>
      <c r="E8" s="31">
        <f>((E7/12)+((E7/12)/(((1+(E7/12))^(12*E6))-1)))*E5</f>
        <v>1930.3156127404573</v>
      </c>
      <c r="G8" s="19">
        <f t="shared" si="0"/>
        <v>3</v>
      </c>
      <c r="H8" s="25">
        <f t="shared" si="0"/>
        <v>2028</v>
      </c>
      <c r="I8" s="26">
        <f t="shared" si="2"/>
        <v>7250</v>
      </c>
      <c r="J8" s="27">
        <f t="shared" si="1"/>
        <v>15913.787352885487</v>
      </c>
    </row>
    <row r="9" spans="1:13" x14ac:dyDescent="0.7">
      <c r="A9" s="15" t="s">
        <v>17</v>
      </c>
      <c r="B9" s="18">
        <v>100000</v>
      </c>
      <c r="C9" s="17"/>
      <c r="D9" s="17"/>
      <c r="E9" s="32"/>
      <c r="G9" s="19">
        <f t="shared" si="0"/>
        <v>4</v>
      </c>
      <c r="H9" s="25">
        <f t="shared" si="0"/>
        <v>2029</v>
      </c>
      <c r="I9" s="26">
        <f t="shared" si="2"/>
        <v>6500</v>
      </c>
      <c r="J9" s="27">
        <f t="shared" si="1"/>
        <v>16663.787352885487</v>
      </c>
      <c r="L9" s="33" t="s">
        <v>18</v>
      </c>
      <c r="M9" s="34"/>
    </row>
    <row r="10" spans="1:13" x14ac:dyDescent="0.7">
      <c r="A10" s="15" t="s">
        <v>19</v>
      </c>
      <c r="B10" s="35">
        <v>0</v>
      </c>
      <c r="C10" s="17"/>
      <c r="D10" s="17" t="s">
        <v>20</v>
      </c>
      <c r="E10" s="18">
        <v>0</v>
      </c>
      <c r="G10" s="19">
        <f t="shared" si="0"/>
        <v>5</v>
      </c>
      <c r="H10" s="25">
        <f t="shared" si="0"/>
        <v>2030</v>
      </c>
      <c r="I10" s="26">
        <f t="shared" si="2"/>
        <v>5750</v>
      </c>
      <c r="J10" s="27">
        <f t="shared" si="1"/>
        <v>17413.787352885487</v>
      </c>
      <c r="L10" s="23" t="s">
        <v>21</v>
      </c>
      <c r="M10" s="36"/>
    </row>
    <row r="11" spans="1:13" x14ac:dyDescent="0.7">
      <c r="A11" s="15"/>
      <c r="B11" s="17"/>
      <c r="C11" s="17"/>
      <c r="D11" s="17" t="s">
        <v>22</v>
      </c>
      <c r="E11" s="16">
        <v>10</v>
      </c>
      <c r="G11" s="19">
        <f t="shared" si="0"/>
        <v>6</v>
      </c>
      <c r="H11" s="25">
        <f t="shared" si="0"/>
        <v>2031</v>
      </c>
      <c r="I11" s="26">
        <f t="shared" si="2"/>
        <v>5000</v>
      </c>
      <c r="J11" s="27">
        <f t="shared" si="1"/>
        <v>18163.787352885487</v>
      </c>
      <c r="L11" s="29" t="s">
        <v>23</v>
      </c>
      <c r="M11" s="37"/>
    </row>
    <row r="12" spans="1:13" x14ac:dyDescent="0.7">
      <c r="A12" s="15" t="s">
        <v>24</v>
      </c>
      <c r="B12" s="38" t="s">
        <v>25</v>
      </c>
      <c r="C12" s="17"/>
      <c r="D12" s="17" t="s">
        <v>26</v>
      </c>
      <c r="E12" s="28">
        <v>6.5000000000000002E-2</v>
      </c>
      <c r="G12" s="19">
        <f t="shared" si="0"/>
        <v>7</v>
      </c>
      <c r="H12" s="25">
        <f t="shared" si="0"/>
        <v>2032</v>
      </c>
      <c r="I12" s="26">
        <f t="shared" si="2"/>
        <v>4250</v>
      </c>
      <c r="J12" s="27">
        <f t="shared" si="1"/>
        <v>18913.787352885487</v>
      </c>
    </row>
    <row r="13" spans="1:13" x14ac:dyDescent="0.7">
      <c r="A13" s="15" t="s">
        <v>27</v>
      </c>
      <c r="B13" s="18">
        <v>0</v>
      </c>
      <c r="C13" s="17"/>
      <c r="D13" s="17" t="s">
        <v>28</v>
      </c>
      <c r="E13" s="39">
        <f>((E12/12)+((E12/12)/(((1+(E12/12))^(12*E11))-1)))*E10</f>
        <v>0</v>
      </c>
      <c r="G13" s="19">
        <f t="shared" si="0"/>
        <v>8</v>
      </c>
      <c r="H13" s="25">
        <f t="shared" si="0"/>
        <v>2033</v>
      </c>
      <c r="I13" s="26">
        <f t="shared" si="2"/>
        <v>3625</v>
      </c>
      <c r="J13" s="27">
        <f t="shared" si="1"/>
        <v>19538.787352885487</v>
      </c>
    </row>
    <row r="14" spans="1:13" x14ac:dyDescent="0.7">
      <c r="A14" s="15" t="s">
        <v>29</v>
      </c>
      <c r="B14" s="28">
        <v>0.03</v>
      </c>
      <c r="C14" s="17"/>
      <c r="D14" s="17"/>
      <c r="E14" s="32"/>
      <c r="G14" s="19">
        <f t="shared" si="0"/>
        <v>9</v>
      </c>
      <c r="H14" s="25">
        <f t="shared" si="0"/>
        <v>2034</v>
      </c>
      <c r="I14" s="26">
        <f t="shared" si="2"/>
        <v>3250</v>
      </c>
      <c r="J14" s="27">
        <f t="shared" si="1"/>
        <v>19913.787352885487</v>
      </c>
      <c r="L14" s="33" t="s">
        <v>30</v>
      </c>
      <c r="M14" s="40"/>
    </row>
    <row r="15" spans="1:13" x14ac:dyDescent="0.7">
      <c r="A15" s="15" t="s">
        <v>31</v>
      </c>
      <c r="B15" s="41">
        <v>1000</v>
      </c>
      <c r="C15" s="17"/>
      <c r="D15" s="17"/>
      <c r="E15" s="32"/>
      <c r="G15" s="19">
        <f t="shared" si="0"/>
        <v>10</v>
      </c>
      <c r="H15" s="25">
        <f t="shared" si="0"/>
        <v>2035</v>
      </c>
      <c r="I15" s="26">
        <f t="shared" si="2"/>
        <v>2875</v>
      </c>
      <c r="J15" s="27">
        <f t="shared" si="1"/>
        <v>20288.787352885487</v>
      </c>
      <c r="L15" s="29" t="s">
        <v>32</v>
      </c>
      <c r="M15" s="30"/>
    </row>
    <row r="16" spans="1:13" x14ac:dyDescent="0.7">
      <c r="A16" s="42"/>
      <c r="B16" s="43"/>
      <c r="C16" s="17"/>
      <c r="D16" s="17"/>
      <c r="E16" s="32"/>
      <c r="G16" s="104" t="s">
        <v>33</v>
      </c>
      <c r="H16" s="105"/>
      <c r="I16" s="44">
        <f>SUM(I6:I15)</f>
        <v>55250</v>
      </c>
      <c r="J16" s="45">
        <f>SUM(J6:J15)</f>
        <v>176387.87352885489</v>
      </c>
    </row>
    <row r="17" spans="1:23" x14ac:dyDescent="0.7">
      <c r="A17" s="15" t="s">
        <v>34</v>
      </c>
      <c r="B17" s="16">
        <v>0</v>
      </c>
      <c r="C17" s="17"/>
      <c r="D17" s="17"/>
      <c r="E17" s="32"/>
    </row>
    <row r="18" spans="1:23" x14ac:dyDescent="0.7">
      <c r="A18" s="15"/>
      <c r="B18" s="17"/>
      <c r="C18" s="17"/>
      <c r="D18" s="17"/>
      <c r="E18" s="32"/>
    </row>
    <row r="19" spans="1:23" x14ac:dyDescent="0.7">
      <c r="A19" s="15" t="s">
        <v>36</v>
      </c>
      <c r="B19" s="41">
        <v>0</v>
      </c>
      <c r="C19" s="17"/>
      <c r="D19" s="17"/>
      <c r="E19" s="32"/>
      <c r="J19" s="47"/>
      <c r="N19" s="48"/>
      <c r="O19" s="48"/>
    </row>
    <row r="20" spans="1:23" x14ac:dyDescent="0.7">
      <c r="A20" s="15" t="s">
        <v>37</v>
      </c>
      <c r="B20" s="28">
        <v>0.03</v>
      </c>
      <c r="C20" s="17"/>
      <c r="D20" s="17"/>
      <c r="E20" s="32"/>
      <c r="G20" s="33" t="s">
        <v>38</v>
      </c>
      <c r="H20" s="49"/>
      <c r="I20" s="50">
        <v>310000</v>
      </c>
      <c r="N20" s="48"/>
      <c r="O20" s="48"/>
      <c r="S20" s="51"/>
    </row>
    <row r="21" spans="1:23" x14ac:dyDescent="0.7">
      <c r="A21" s="15"/>
      <c r="B21" s="17"/>
      <c r="C21" s="17"/>
      <c r="D21" s="17"/>
      <c r="E21" s="32"/>
      <c r="G21" s="23" t="s">
        <v>39</v>
      </c>
      <c r="H21" s="52"/>
      <c r="I21" s="53"/>
      <c r="N21" s="48"/>
      <c r="O21" s="48"/>
    </row>
    <row r="22" spans="1:23" x14ac:dyDescent="0.7">
      <c r="A22" s="54" t="s">
        <v>40</v>
      </c>
      <c r="B22" s="41">
        <v>0</v>
      </c>
      <c r="C22" s="55"/>
      <c r="D22" s="55"/>
      <c r="E22" s="56"/>
      <c r="G22" s="23" t="s">
        <v>41</v>
      </c>
      <c r="H22" s="52"/>
      <c r="I22" s="36"/>
      <c r="N22" s="48"/>
      <c r="O22" s="48"/>
    </row>
    <row r="23" spans="1:23" x14ac:dyDescent="0.7">
      <c r="G23" s="29" t="s">
        <v>42</v>
      </c>
      <c r="H23" s="57"/>
      <c r="I23" s="37"/>
    </row>
    <row r="24" spans="1:23" hidden="1" outlineLevel="1" x14ac:dyDescent="0.7"/>
    <row r="25" spans="1:23" hidden="1" outlineLevel="1" x14ac:dyDescent="0.7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</row>
    <row r="26" spans="1:23" ht="73.2" hidden="1" outlineLevel="1" x14ac:dyDescent="0.7">
      <c r="A26" s="59" t="s">
        <v>43</v>
      </c>
      <c r="B26" s="59" t="s">
        <v>44</v>
      </c>
      <c r="C26" s="59" t="s">
        <v>45</v>
      </c>
      <c r="D26" s="59" t="s">
        <v>46</v>
      </c>
      <c r="E26" s="59" t="s">
        <v>47</v>
      </c>
      <c r="F26" s="59" t="s">
        <v>48</v>
      </c>
      <c r="G26" s="59" t="s">
        <v>49</v>
      </c>
      <c r="H26" s="59" t="s">
        <v>50</v>
      </c>
      <c r="I26" s="59" t="s">
        <v>51</v>
      </c>
      <c r="J26" s="59" t="s">
        <v>52</v>
      </c>
      <c r="K26" s="59" t="s">
        <v>53</v>
      </c>
      <c r="L26" s="59" t="s">
        <v>54</v>
      </c>
      <c r="M26" s="59"/>
      <c r="N26" s="59"/>
      <c r="O26" s="59" t="s">
        <v>55</v>
      </c>
      <c r="P26" s="59"/>
      <c r="Q26" s="59" t="s">
        <v>56</v>
      </c>
      <c r="R26" s="59" t="s">
        <v>57</v>
      </c>
      <c r="S26" s="59" t="s">
        <v>58</v>
      </c>
      <c r="T26" s="59" t="s">
        <v>59</v>
      </c>
      <c r="U26" s="59" t="s">
        <v>60</v>
      </c>
      <c r="V26" s="59"/>
      <c r="W26" s="59"/>
    </row>
    <row r="27" spans="1:23" hidden="1" outlineLevel="1" x14ac:dyDescent="0.7">
      <c r="A27" s="2">
        <v>1</v>
      </c>
      <c r="B27" s="2">
        <f>$B$5+A27</f>
        <v>2026</v>
      </c>
      <c r="C27" s="2" t="str">
        <f>IF(B27&lt;$B$6, "No", IF(B27&gt;$B$7, "No", "Yes"))</f>
        <v>Yes</v>
      </c>
      <c r="D27" s="51">
        <f>B9</f>
        <v>100000</v>
      </c>
      <c r="E27" s="51">
        <f>B13</f>
        <v>0</v>
      </c>
      <c r="F27" s="60">
        <f>E27-(12*$B$15)</f>
        <v>-12000</v>
      </c>
      <c r="G27" s="51">
        <f>MAX(D27, 0.5*(D27+F27))</f>
        <v>100000</v>
      </c>
      <c r="H27" s="51">
        <f>B19</f>
        <v>0</v>
      </c>
      <c r="I27" s="60">
        <f>MAX(0,$B$22-200000)</f>
        <v>0</v>
      </c>
      <c r="J27" s="51">
        <f>8000*$B$17</f>
        <v>0</v>
      </c>
      <c r="K27" s="51">
        <f>MAX(0, 1000*(COUNTIF($C$27:$C27,"Yes")-1))</f>
        <v>0</v>
      </c>
      <c r="L27" s="51">
        <f>G27+H27+I27-J27-K27</f>
        <v>100000</v>
      </c>
      <c r="M27" s="60"/>
      <c r="N27" s="51"/>
      <c r="O27" s="51">
        <f>$E$8*12</f>
        <v>23163.787352885487</v>
      </c>
      <c r="P27" s="51"/>
      <c r="Q27" s="51">
        <f>$E$13*12</f>
        <v>0</v>
      </c>
      <c r="R27" s="51">
        <f>P27+Q27</f>
        <v>0</v>
      </c>
      <c r="S27" s="51">
        <f>O27+Q27</f>
        <v>23163.787352885487</v>
      </c>
      <c r="T27" s="51">
        <f>IF(C27= "Yes", MIN(S27, (IF(L27&lt;LRAP!$D$44,0,IF(L27&lt;LRAP!$D$45,LRAP!$F$45*(L27-LRAP!$G$45),IF(L27&lt;LRAP!$D$46,LRAP!$F$46*(L27-LRAP!$G$46)+LRAP!$I$46,LRAP!$F$47*(L27-LRAP!$G$47)+LRAP!$I$47))))), "Not in Program")</f>
        <v>8750</v>
      </c>
      <c r="U27" s="51">
        <f>IF(C27="Yes", S27-T27, "Not in Program")</f>
        <v>14413.787352885487</v>
      </c>
      <c r="V27" s="51"/>
      <c r="W27" s="51"/>
    </row>
    <row r="28" spans="1:23" hidden="1" outlineLevel="1" x14ac:dyDescent="0.7">
      <c r="A28" s="2">
        <v>2</v>
      </c>
      <c r="B28" s="2">
        <f t="shared" ref="B28:B38" si="3">$B$5+A28</f>
        <v>2027</v>
      </c>
      <c r="C28" s="2" t="str">
        <f>IF(B28&lt;$B$6, "No", IF(B28&gt;$B$7, "No", "Yes"))</f>
        <v>Yes</v>
      </c>
      <c r="D28" s="51">
        <f>D27*(1+$B$10)</f>
        <v>100000</v>
      </c>
      <c r="E28" s="51">
        <f>E27*(1+$B$14)</f>
        <v>0</v>
      </c>
      <c r="F28" s="60">
        <f t="shared" ref="F28:F38" si="4">E28-(12*$B$15)</f>
        <v>-12000</v>
      </c>
      <c r="G28" s="51">
        <f t="shared" ref="G28:G38" si="5">MAX(D28, 0.5*(D28+F28))</f>
        <v>100000</v>
      </c>
      <c r="H28" s="51">
        <f>H27*(1+$B$20)</f>
        <v>0</v>
      </c>
      <c r="I28" s="60">
        <f t="shared" ref="I28:I38" si="6">MAX(0,$B$22-200000)</f>
        <v>0</v>
      </c>
      <c r="J28" s="51">
        <f t="shared" ref="J28:J38" si="7">8000*$B$17</f>
        <v>0</v>
      </c>
      <c r="K28" s="51">
        <f>MAX(0, 1500*(COUNTIF($C$27:$C28,"Yes")-1))</f>
        <v>1500</v>
      </c>
      <c r="L28" s="51">
        <f t="shared" ref="L28:L38" si="8">G28+H28+I28-J28-K28</f>
        <v>98500</v>
      </c>
      <c r="M28" s="60"/>
      <c r="N28" s="51"/>
      <c r="O28" s="51">
        <f t="shared" ref="O28:O38" si="9">$E$8*12</f>
        <v>23163.787352885487</v>
      </c>
      <c r="P28" s="51"/>
      <c r="Q28" s="51">
        <f t="shared" ref="Q28:Q38" si="10">$E$13*12</f>
        <v>0</v>
      </c>
      <c r="R28" s="51">
        <f t="shared" ref="R28:R38" si="11">P28+Q28</f>
        <v>0</v>
      </c>
      <c r="S28" s="51">
        <f t="shared" ref="S28:S38" si="12">O28+Q28</f>
        <v>23163.787352885487</v>
      </c>
      <c r="T28" s="51">
        <f>IF(C28= "Yes", MIN(S28, (IF(L28&lt;LRAP!$D$44,0,IF(L28&lt;LRAP!$D$45,LRAP!$F$45*(L28-LRAP!$G$45),IF(L28&lt;LRAP!$D$46,LRAP!$F$46*(L28-LRAP!$G$46)+LRAP!$I$46,LRAP!$F$47*(L28-LRAP!$G$47)+LRAP!$I$47))))), "Not in Program")</f>
        <v>8000</v>
      </c>
      <c r="U28" s="51">
        <f t="shared" ref="U28:U38" si="13">IF(C28="Yes", S28-T28, "Not in Program")</f>
        <v>15163.787352885487</v>
      </c>
      <c r="V28" s="51"/>
      <c r="W28" s="51"/>
    </row>
    <row r="29" spans="1:23" hidden="1" outlineLevel="1" x14ac:dyDescent="0.7">
      <c r="A29" s="2">
        <v>3</v>
      </c>
      <c r="B29" s="2">
        <f t="shared" si="3"/>
        <v>2028</v>
      </c>
      <c r="C29" s="2" t="str">
        <f t="shared" ref="C29:C38" si="14">IF(B29&lt;$B$6, "No", IF(B29&gt;$B$7, "No", "Yes"))</f>
        <v>Yes</v>
      </c>
      <c r="D29" s="51">
        <f t="shared" ref="D29:D38" si="15">D28*(1+$B$10)</f>
        <v>100000</v>
      </c>
      <c r="E29" s="51">
        <f t="shared" ref="E29:E38" si="16">E28*(1+$B$14)</f>
        <v>0</v>
      </c>
      <c r="F29" s="60">
        <f t="shared" si="4"/>
        <v>-12000</v>
      </c>
      <c r="G29" s="51">
        <f t="shared" si="5"/>
        <v>100000</v>
      </c>
      <c r="H29" s="51">
        <f t="shared" ref="H29:H38" si="17">H28*(1+$B$20)</f>
        <v>0</v>
      </c>
      <c r="I29" s="60">
        <f t="shared" si="6"/>
        <v>0</v>
      </c>
      <c r="J29" s="51">
        <f t="shared" si="7"/>
        <v>0</v>
      </c>
      <c r="K29" s="51">
        <f>MAX(0, 1500*(COUNTIF($C$27:$C29,"Yes")-1))</f>
        <v>3000</v>
      </c>
      <c r="L29" s="51">
        <f t="shared" si="8"/>
        <v>97000</v>
      </c>
      <c r="M29" s="60"/>
      <c r="N29" s="51"/>
      <c r="O29" s="51">
        <f t="shared" si="9"/>
        <v>23163.787352885487</v>
      </c>
      <c r="P29" s="51"/>
      <c r="Q29" s="51">
        <f t="shared" si="10"/>
        <v>0</v>
      </c>
      <c r="R29" s="51">
        <f t="shared" si="11"/>
        <v>0</v>
      </c>
      <c r="S29" s="51">
        <f t="shared" si="12"/>
        <v>23163.787352885487</v>
      </c>
      <c r="T29" s="51">
        <f>IF(C29= "Yes", MIN(S29, (IF(L29&lt;LRAP!$D$44,0,IF(L29&lt;LRAP!$D$45,LRAP!$F$45*(L29-LRAP!$G$45),IF(L29&lt;LRAP!$D$46,LRAP!$F$46*(L29-LRAP!$G$46)+LRAP!$I$46,LRAP!$F$47*(L29-LRAP!$G$47)+LRAP!$I$47))))), "Not in Program")</f>
        <v>7250</v>
      </c>
      <c r="U29" s="51">
        <f t="shared" si="13"/>
        <v>15913.787352885487</v>
      </c>
      <c r="V29" s="51"/>
      <c r="W29" s="51"/>
    </row>
    <row r="30" spans="1:23" hidden="1" outlineLevel="1" x14ac:dyDescent="0.7">
      <c r="A30" s="2">
        <v>4</v>
      </c>
      <c r="B30" s="2">
        <f t="shared" si="3"/>
        <v>2029</v>
      </c>
      <c r="C30" s="2" t="str">
        <f t="shared" si="14"/>
        <v>Yes</v>
      </c>
      <c r="D30" s="51">
        <f t="shared" si="15"/>
        <v>100000</v>
      </c>
      <c r="E30" s="51">
        <f t="shared" si="16"/>
        <v>0</v>
      </c>
      <c r="F30" s="60">
        <f t="shared" si="4"/>
        <v>-12000</v>
      </c>
      <c r="G30" s="51">
        <f t="shared" si="5"/>
        <v>100000</v>
      </c>
      <c r="H30" s="51">
        <f t="shared" si="17"/>
        <v>0</v>
      </c>
      <c r="I30" s="60">
        <f t="shared" si="6"/>
        <v>0</v>
      </c>
      <c r="J30" s="51">
        <f t="shared" si="7"/>
        <v>0</v>
      </c>
      <c r="K30" s="51">
        <f>MAX(0, 1500*(COUNTIF($C$27:$C30,"Yes")-1))</f>
        <v>4500</v>
      </c>
      <c r="L30" s="51">
        <f t="shared" si="8"/>
        <v>95500</v>
      </c>
      <c r="M30" s="60"/>
      <c r="N30" s="51"/>
      <c r="O30" s="51">
        <f t="shared" si="9"/>
        <v>23163.787352885487</v>
      </c>
      <c r="P30" s="51"/>
      <c r="Q30" s="51">
        <f t="shared" si="10"/>
        <v>0</v>
      </c>
      <c r="R30" s="51">
        <f t="shared" si="11"/>
        <v>0</v>
      </c>
      <c r="S30" s="51">
        <f t="shared" si="12"/>
        <v>23163.787352885487</v>
      </c>
      <c r="T30" s="51">
        <f>IF(C30= "Yes", MIN(S30, (IF(L30&lt;LRAP!$D$44,0,IF(L30&lt;LRAP!$D$45,LRAP!$F$45*(L30-LRAP!$G$45),IF(L30&lt;LRAP!$D$46,LRAP!$F$46*(L30-LRAP!$G$46)+LRAP!$I$46,LRAP!$F$47*(L30-LRAP!$G$47)+LRAP!$I$47))))), "Not in Program")</f>
        <v>6500</v>
      </c>
      <c r="U30" s="51">
        <f t="shared" si="13"/>
        <v>16663.787352885487</v>
      </c>
      <c r="V30" s="51"/>
      <c r="W30" s="51"/>
    </row>
    <row r="31" spans="1:23" hidden="1" outlineLevel="1" x14ac:dyDescent="0.7">
      <c r="A31" s="2">
        <v>5</v>
      </c>
      <c r="B31" s="2">
        <f t="shared" si="3"/>
        <v>2030</v>
      </c>
      <c r="C31" s="2" t="str">
        <f t="shared" si="14"/>
        <v>Yes</v>
      </c>
      <c r="D31" s="51">
        <f t="shared" si="15"/>
        <v>100000</v>
      </c>
      <c r="E31" s="51">
        <f t="shared" si="16"/>
        <v>0</v>
      </c>
      <c r="F31" s="60">
        <f t="shared" si="4"/>
        <v>-12000</v>
      </c>
      <c r="G31" s="51">
        <f t="shared" si="5"/>
        <v>100000</v>
      </c>
      <c r="H31" s="51">
        <f t="shared" si="17"/>
        <v>0</v>
      </c>
      <c r="I31" s="60">
        <f t="shared" si="6"/>
        <v>0</v>
      </c>
      <c r="J31" s="51">
        <f t="shared" si="7"/>
        <v>0</v>
      </c>
      <c r="K31" s="51">
        <f>MAX(0, 1500*(COUNTIF($C$27:$C31,"Yes")-1))</f>
        <v>6000</v>
      </c>
      <c r="L31" s="51">
        <f t="shared" si="8"/>
        <v>94000</v>
      </c>
      <c r="M31" s="60"/>
      <c r="N31" s="51"/>
      <c r="O31" s="51">
        <f t="shared" si="9"/>
        <v>23163.787352885487</v>
      </c>
      <c r="P31" s="51"/>
      <c r="Q31" s="51">
        <f t="shared" si="10"/>
        <v>0</v>
      </c>
      <c r="R31" s="51">
        <f t="shared" si="11"/>
        <v>0</v>
      </c>
      <c r="S31" s="51">
        <f t="shared" si="12"/>
        <v>23163.787352885487</v>
      </c>
      <c r="T31" s="51">
        <f>IF(C31= "Yes", MIN(S31, (IF(L31&lt;LRAP!$D$44,0,IF(L31&lt;LRAP!$D$45,LRAP!$F$45*(L31-LRAP!$G$45),IF(L31&lt;LRAP!$D$46,LRAP!$F$46*(L31-LRAP!$G$46)+LRAP!$I$46,LRAP!$F$47*(L31-LRAP!$G$47)+LRAP!$I$47))))), "Not in Program")</f>
        <v>5750</v>
      </c>
      <c r="U31" s="51">
        <f t="shared" si="13"/>
        <v>17413.787352885487</v>
      </c>
      <c r="V31" s="51"/>
      <c r="W31" s="51"/>
    </row>
    <row r="32" spans="1:23" hidden="1" outlineLevel="1" x14ac:dyDescent="0.7">
      <c r="A32" s="2">
        <v>6</v>
      </c>
      <c r="B32" s="2">
        <f t="shared" si="3"/>
        <v>2031</v>
      </c>
      <c r="C32" s="2" t="str">
        <f t="shared" si="14"/>
        <v>Yes</v>
      </c>
      <c r="D32" s="51">
        <f t="shared" si="15"/>
        <v>100000</v>
      </c>
      <c r="E32" s="51">
        <f t="shared" si="16"/>
        <v>0</v>
      </c>
      <c r="F32" s="60">
        <f t="shared" si="4"/>
        <v>-12000</v>
      </c>
      <c r="G32" s="51">
        <f t="shared" si="5"/>
        <v>100000</v>
      </c>
      <c r="H32" s="51">
        <f t="shared" si="17"/>
        <v>0</v>
      </c>
      <c r="I32" s="60">
        <f t="shared" si="6"/>
        <v>0</v>
      </c>
      <c r="J32" s="51">
        <f t="shared" si="7"/>
        <v>0</v>
      </c>
      <c r="K32" s="51">
        <f>MAX(0, 1500*(COUNTIF($C$27:$C32,"Yes")-1))</f>
        <v>7500</v>
      </c>
      <c r="L32" s="51">
        <f t="shared" si="8"/>
        <v>92500</v>
      </c>
      <c r="M32" s="60"/>
      <c r="N32" s="51"/>
      <c r="O32" s="51">
        <f t="shared" si="9"/>
        <v>23163.787352885487</v>
      </c>
      <c r="P32" s="51"/>
      <c r="Q32" s="51">
        <f t="shared" si="10"/>
        <v>0</v>
      </c>
      <c r="R32" s="51">
        <f t="shared" si="11"/>
        <v>0</v>
      </c>
      <c r="S32" s="51">
        <f t="shared" si="12"/>
        <v>23163.787352885487</v>
      </c>
      <c r="T32" s="51">
        <f>IF(C32= "Yes", MIN(S32, (IF(L32&lt;LRAP!$D$44,0,IF(L32&lt;LRAP!$D$45,LRAP!$F$45*(L32-LRAP!$G$45),IF(L32&lt;LRAP!$D$46,LRAP!$F$46*(L32-LRAP!$G$46)+LRAP!$I$46,LRAP!$F$47*(L32-LRAP!$G$47)+LRAP!$I$47))))), "Not in Program")</f>
        <v>5000</v>
      </c>
      <c r="U32" s="51">
        <f t="shared" si="13"/>
        <v>18163.787352885487</v>
      </c>
      <c r="V32" s="51"/>
      <c r="W32" s="51"/>
    </row>
    <row r="33" spans="1:23" hidden="1" outlineLevel="1" x14ac:dyDescent="0.7">
      <c r="A33" s="2">
        <v>7</v>
      </c>
      <c r="B33" s="2">
        <f t="shared" si="3"/>
        <v>2032</v>
      </c>
      <c r="C33" s="2" t="str">
        <f t="shared" si="14"/>
        <v>Yes</v>
      </c>
      <c r="D33" s="51">
        <f t="shared" si="15"/>
        <v>100000</v>
      </c>
      <c r="E33" s="51">
        <f t="shared" si="16"/>
        <v>0</v>
      </c>
      <c r="F33" s="60">
        <f t="shared" si="4"/>
        <v>-12000</v>
      </c>
      <c r="G33" s="51">
        <f t="shared" si="5"/>
        <v>100000</v>
      </c>
      <c r="H33" s="51">
        <f t="shared" si="17"/>
        <v>0</v>
      </c>
      <c r="I33" s="60">
        <f t="shared" si="6"/>
        <v>0</v>
      </c>
      <c r="J33" s="51">
        <f t="shared" si="7"/>
        <v>0</v>
      </c>
      <c r="K33" s="51">
        <f>MAX(0, 1500*(COUNTIF($C$27:$C33,"Yes")-1))</f>
        <v>9000</v>
      </c>
      <c r="L33" s="51">
        <f t="shared" si="8"/>
        <v>91000</v>
      </c>
      <c r="M33" s="60"/>
      <c r="N33" s="51"/>
      <c r="O33" s="51">
        <f t="shared" si="9"/>
        <v>23163.787352885487</v>
      </c>
      <c r="P33" s="51"/>
      <c r="Q33" s="51">
        <f t="shared" si="10"/>
        <v>0</v>
      </c>
      <c r="R33" s="51">
        <f t="shared" si="11"/>
        <v>0</v>
      </c>
      <c r="S33" s="51">
        <f t="shared" si="12"/>
        <v>23163.787352885487</v>
      </c>
      <c r="T33" s="51">
        <f>IF(C33= "Yes", MIN(S33, (IF(L33&lt;LRAP!$D$44,0,IF(L33&lt;LRAP!$D$45,LRAP!$F$45*(L33-LRAP!$G$45),IF(L33&lt;LRAP!$D$46,LRAP!$F$46*(L33-LRAP!$G$46)+LRAP!$I$46,LRAP!$F$47*(L33-LRAP!$G$47)+LRAP!$I$47))))), "Not in Program")</f>
        <v>4250</v>
      </c>
      <c r="U33" s="51">
        <f t="shared" si="13"/>
        <v>18913.787352885487</v>
      </c>
      <c r="V33" s="51"/>
      <c r="W33" s="51"/>
    </row>
    <row r="34" spans="1:23" hidden="1" outlineLevel="1" x14ac:dyDescent="0.7">
      <c r="A34" s="2">
        <v>8</v>
      </c>
      <c r="B34" s="2">
        <f t="shared" si="3"/>
        <v>2033</v>
      </c>
      <c r="C34" s="2" t="str">
        <f t="shared" si="14"/>
        <v>Yes</v>
      </c>
      <c r="D34" s="51">
        <f t="shared" si="15"/>
        <v>100000</v>
      </c>
      <c r="E34" s="51">
        <f t="shared" si="16"/>
        <v>0</v>
      </c>
      <c r="F34" s="60">
        <f t="shared" si="4"/>
        <v>-12000</v>
      </c>
      <c r="G34" s="51">
        <f t="shared" si="5"/>
        <v>100000</v>
      </c>
      <c r="H34" s="51">
        <f t="shared" si="17"/>
        <v>0</v>
      </c>
      <c r="I34" s="60">
        <f t="shared" si="6"/>
        <v>0</v>
      </c>
      <c r="J34" s="51">
        <f t="shared" si="7"/>
        <v>0</v>
      </c>
      <c r="K34" s="51">
        <f>MAX(0, 1500*(COUNTIF($C$27:$C34,"Yes")-1))</f>
        <v>10500</v>
      </c>
      <c r="L34" s="51">
        <f t="shared" si="8"/>
        <v>89500</v>
      </c>
      <c r="M34" s="60"/>
      <c r="N34" s="51"/>
      <c r="O34" s="51">
        <f t="shared" si="9"/>
        <v>23163.787352885487</v>
      </c>
      <c r="P34" s="51"/>
      <c r="Q34" s="51">
        <f t="shared" si="10"/>
        <v>0</v>
      </c>
      <c r="R34" s="51">
        <f t="shared" si="11"/>
        <v>0</v>
      </c>
      <c r="S34" s="51">
        <f t="shared" si="12"/>
        <v>23163.787352885487</v>
      </c>
      <c r="T34" s="51">
        <f>IF(C34= "Yes", MIN(S34, (IF(L34&lt;LRAP!$D$44,0,IF(L34&lt;LRAP!$D$45,LRAP!$F$45*(L34-LRAP!$G$45),IF(L34&lt;LRAP!$D$46,LRAP!$F$46*(L34-LRAP!$G$46)+LRAP!$I$46,LRAP!$F$47*(L34-LRAP!$G$47)+LRAP!$I$47))))), "Not in Program")</f>
        <v>3625</v>
      </c>
      <c r="U34" s="51">
        <f t="shared" si="13"/>
        <v>19538.787352885487</v>
      </c>
      <c r="V34" s="51"/>
      <c r="W34" s="51"/>
    </row>
    <row r="35" spans="1:23" hidden="1" outlineLevel="1" x14ac:dyDescent="0.7">
      <c r="A35" s="2">
        <v>9</v>
      </c>
      <c r="B35" s="2">
        <f t="shared" si="3"/>
        <v>2034</v>
      </c>
      <c r="C35" s="2" t="str">
        <f t="shared" si="14"/>
        <v>Yes</v>
      </c>
      <c r="D35" s="51">
        <f t="shared" si="15"/>
        <v>100000</v>
      </c>
      <c r="E35" s="51">
        <f t="shared" si="16"/>
        <v>0</v>
      </c>
      <c r="F35" s="60">
        <f t="shared" si="4"/>
        <v>-12000</v>
      </c>
      <c r="G35" s="51">
        <f t="shared" si="5"/>
        <v>100000</v>
      </c>
      <c r="H35" s="51">
        <f t="shared" si="17"/>
        <v>0</v>
      </c>
      <c r="I35" s="60">
        <f t="shared" si="6"/>
        <v>0</v>
      </c>
      <c r="J35" s="51">
        <f t="shared" si="7"/>
        <v>0</v>
      </c>
      <c r="K35" s="51">
        <f>MAX(0, 1500*(COUNTIF($C$27:$C35,"Yes")-1))</f>
        <v>12000</v>
      </c>
      <c r="L35" s="51">
        <f t="shared" si="8"/>
        <v>88000</v>
      </c>
      <c r="M35" s="60"/>
      <c r="N35" s="51"/>
      <c r="O35" s="51">
        <f t="shared" si="9"/>
        <v>23163.787352885487</v>
      </c>
      <c r="P35" s="51"/>
      <c r="Q35" s="51">
        <f t="shared" si="10"/>
        <v>0</v>
      </c>
      <c r="R35" s="51">
        <f t="shared" si="11"/>
        <v>0</v>
      </c>
      <c r="S35" s="51">
        <f t="shared" si="12"/>
        <v>23163.787352885487</v>
      </c>
      <c r="T35" s="51">
        <f>IF(C35= "Yes", MIN(S35, (IF(L35&lt;LRAP!$D$44,0,IF(L35&lt;LRAP!$D$45,LRAP!$F$45*(L35-LRAP!$G$45),IF(L35&lt;LRAP!$D$46,LRAP!$F$46*(L35-LRAP!$G$46)+LRAP!$I$46,LRAP!$F$47*(L35-LRAP!$G$47)+LRAP!$I$47))))), "Not in Program")</f>
        <v>3250</v>
      </c>
      <c r="U35" s="51">
        <f t="shared" si="13"/>
        <v>19913.787352885487</v>
      </c>
      <c r="V35" s="51"/>
      <c r="W35" s="51"/>
    </row>
    <row r="36" spans="1:23" hidden="1" outlineLevel="1" x14ac:dyDescent="0.7">
      <c r="A36" s="2">
        <v>10</v>
      </c>
      <c r="B36" s="2">
        <f t="shared" si="3"/>
        <v>2035</v>
      </c>
      <c r="C36" s="2" t="str">
        <f t="shared" si="14"/>
        <v>Yes</v>
      </c>
      <c r="D36" s="51">
        <f t="shared" si="15"/>
        <v>100000</v>
      </c>
      <c r="E36" s="51">
        <f t="shared" si="16"/>
        <v>0</v>
      </c>
      <c r="F36" s="60">
        <f t="shared" si="4"/>
        <v>-12000</v>
      </c>
      <c r="G36" s="51">
        <f t="shared" si="5"/>
        <v>100000</v>
      </c>
      <c r="H36" s="51">
        <f t="shared" si="17"/>
        <v>0</v>
      </c>
      <c r="I36" s="60">
        <f t="shared" si="6"/>
        <v>0</v>
      </c>
      <c r="J36" s="51">
        <f t="shared" si="7"/>
        <v>0</v>
      </c>
      <c r="K36" s="51">
        <f>MAX(0, 1500*(COUNTIF($C$27:$C36,"Yes")-1))</f>
        <v>13500</v>
      </c>
      <c r="L36" s="51">
        <f t="shared" si="8"/>
        <v>86500</v>
      </c>
      <c r="M36" s="60"/>
      <c r="N36" s="51"/>
      <c r="O36" s="51">
        <f t="shared" si="9"/>
        <v>23163.787352885487</v>
      </c>
      <c r="P36" s="51"/>
      <c r="Q36" s="51">
        <f t="shared" si="10"/>
        <v>0</v>
      </c>
      <c r="R36" s="51">
        <f t="shared" si="11"/>
        <v>0</v>
      </c>
      <c r="S36" s="51">
        <f t="shared" si="12"/>
        <v>23163.787352885487</v>
      </c>
      <c r="T36" s="51">
        <f>IF(C36= "Yes", MIN(S36, (IF(L36&lt;LRAP!$D$44,0,IF(L36&lt;LRAP!$D$45,LRAP!$F$45*(L36-LRAP!$G$45),IF(L36&lt;LRAP!$D$46,LRAP!$F$46*(L36-LRAP!$G$46)+LRAP!$I$46,LRAP!$F$47*(L36-LRAP!$G$47)+LRAP!$I$47))))), "Not in Program")</f>
        <v>2875</v>
      </c>
      <c r="U36" s="51">
        <f t="shared" si="13"/>
        <v>20288.787352885487</v>
      </c>
      <c r="V36" s="51"/>
      <c r="W36" s="51"/>
    </row>
    <row r="37" spans="1:23" hidden="1" outlineLevel="1" x14ac:dyDescent="0.7">
      <c r="A37" s="2">
        <v>11</v>
      </c>
      <c r="B37" s="2">
        <f t="shared" si="3"/>
        <v>2036</v>
      </c>
      <c r="C37" s="2" t="str">
        <f t="shared" si="14"/>
        <v>Yes</v>
      </c>
      <c r="D37" s="51">
        <f t="shared" si="15"/>
        <v>100000</v>
      </c>
      <c r="E37" s="51">
        <f t="shared" si="16"/>
        <v>0</v>
      </c>
      <c r="F37" s="60">
        <f t="shared" si="4"/>
        <v>-12000</v>
      </c>
      <c r="G37" s="51">
        <f t="shared" si="5"/>
        <v>100000</v>
      </c>
      <c r="H37" s="51">
        <f t="shared" si="17"/>
        <v>0</v>
      </c>
      <c r="I37" s="60">
        <f t="shared" si="6"/>
        <v>0</v>
      </c>
      <c r="J37" s="51">
        <f t="shared" si="7"/>
        <v>0</v>
      </c>
      <c r="K37" s="51">
        <f>MAX(0, 1500*(COUNTIF($C$27:$C37,"Yes")-1))</f>
        <v>15000</v>
      </c>
      <c r="L37" s="51">
        <f t="shared" si="8"/>
        <v>85000</v>
      </c>
      <c r="M37" s="60"/>
      <c r="N37" s="51"/>
      <c r="O37" s="51">
        <f t="shared" si="9"/>
        <v>23163.787352885487</v>
      </c>
      <c r="P37" s="51"/>
      <c r="Q37" s="51">
        <f t="shared" si="10"/>
        <v>0</v>
      </c>
      <c r="R37" s="51">
        <f t="shared" si="11"/>
        <v>0</v>
      </c>
      <c r="S37" s="51">
        <f t="shared" si="12"/>
        <v>23163.787352885487</v>
      </c>
      <c r="T37" s="51">
        <f>IF(C37= "Yes", MIN(S37, (IF(L37&lt;LRAP!$D$44,0,IF(L37&lt;LRAP!$D$45,LRAP!$F$45*(L37-LRAP!$G$45),IF(L37&lt;LRAP!$D$46,LRAP!$F$46*(L37-LRAP!$G$46)+LRAP!$I$46,LRAP!$F$47*(L37-LRAP!$G$47)+LRAP!$I$47))))), "Not in Program")</f>
        <v>2500</v>
      </c>
      <c r="U37" s="51">
        <f t="shared" si="13"/>
        <v>20663.787352885487</v>
      </c>
      <c r="V37" s="51"/>
      <c r="W37" s="51"/>
    </row>
    <row r="38" spans="1:23" hidden="1" outlineLevel="1" x14ac:dyDescent="0.7">
      <c r="A38" s="2">
        <v>12</v>
      </c>
      <c r="B38" s="2">
        <f t="shared" si="3"/>
        <v>2037</v>
      </c>
      <c r="C38" s="2" t="str">
        <f t="shared" si="14"/>
        <v>Yes</v>
      </c>
      <c r="D38" s="51">
        <f t="shared" si="15"/>
        <v>100000</v>
      </c>
      <c r="E38" s="51">
        <f t="shared" si="16"/>
        <v>0</v>
      </c>
      <c r="F38" s="60">
        <f t="shared" si="4"/>
        <v>-12000</v>
      </c>
      <c r="G38" s="51">
        <f t="shared" si="5"/>
        <v>100000</v>
      </c>
      <c r="H38" s="51">
        <f t="shared" si="17"/>
        <v>0</v>
      </c>
      <c r="I38" s="60">
        <f t="shared" si="6"/>
        <v>0</v>
      </c>
      <c r="J38" s="51">
        <f t="shared" si="7"/>
        <v>0</v>
      </c>
      <c r="K38" s="51">
        <f>MAX(0, 1500*(COUNTIF($C$27:$C38,"Yes")-1))</f>
        <v>16500</v>
      </c>
      <c r="L38" s="51">
        <f t="shared" si="8"/>
        <v>83500</v>
      </c>
      <c r="M38" s="60"/>
      <c r="N38" s="51"/>
      <c r="O38" s="51">
        <f t="shared" si="9"/>
        <v>23163.787352885487</v>
      </c>
      <c r="P38" s="51"/>
      <c r="Q38" s="51">
        <f t="shared" si="10"/>
        <v>0</v>
      </c>
      <c r="R38" s="51">
        <f t="shared" si="11"/>
        <v>0</v>
      </c>
      <c r="S38" s="51">
        <f t="shared" si="12"/>
        <v>23163.787352885487</v>
      </c>
      <c r="T38" s="51">
        <f>IF(C38= "Yes", MIN(S38, (IF(L38&lt;LRAP!$D$44,0,IF(L38&lt;LRAP!$D$45,LRAP!$F$45*(L38-LRAP!$G$45),IF(L38&lt;LRAP!$D$46,LRAP!$F$46*(L38-LRAP!$G$46)+LRAP!$I$46,LRAP!$F$47*(L38-LRAP!$G$47)+LRAP!$I$47))))), "Not in Program")</f>
        <v>2125</v>
      </c>
      <c r="U38" s="51">
        <f t="shared" si="13"/>
        <v>21038.787352885487</v>
      </c>
      <c r="V38" s="51"/>
      <c r="W38" s="51"/>
    </row>
    <row r="39" spans="1:23" hidden="1" outlineLevel="1" x14ac:dyDescent="0.7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</row>
    <row r="40" spans="1:23" hidden="1" outlineLevel="1" x14ac:dyDescent="0.7">
      <c r="D40" s="51"/>
      <c r="E40" s="51"/>
      <c r="F40" s="60"/>
      <c r="G40" s="51"/>
      <c r="H40" s="51"/>
      <c r="I40" s="60"/>
      <c r="J40" s="51"/>
      <c r="K40" s="51"/>
      <c r="L40" s="51"/>
      <c r="M40" s="60"/>
      <c r="N40" s="51"/>
      <c r="O40" s="51"/>
      <c r="P40" s="51"/>
      <c r="Q40" s="51"/>
      <c r="R40" s="51"/>
      <c r="S40" s="51"/>
      <c r="T40" s="51"/>
      <c r="U40" s="51"/>
      <c r="V40" s="51"/>
      <c r="W40" s="51"/>
    </row>
    <row r="41" spans="1:23" hidden="1" outlineLevel="1" x14ac:dyDescent="0.7">
      <c r="D41" s="33" t="s">
        <v>61</v>
      </c>
      <c r="E41" s="61"/>
      <c r="F41" s="61"/>
      <c r="G41" s="61"/>
      <c r="H41" s="61"/>
      <c r="I41" s="61"/>
      <c r="J41" s="61"/>
      <c r="K41" s="61"/>
      <c r="L41" s="61"/>
    </row>
    <row r="42" spans="1:23" hidden="1" outlineLevel="1" x14ac:dyDescent="0.7">
      <c r="D42" s="23" t="s">
        <v>62</v>
      </c>
      <c r="E42" s="62" t="s">
        <v>63</v>
      </c>
      <c r="F42" s="63" t="s">
        <v>64</v>
      </c>
      <c r="G42" s="64"/>
      <c r="H42" s="65" t="s">
        <v>65</v>
      </c>
    </row>
    <row r="43" spans="1:23" hidden="1" outlineLevel="1" x14ac:dyDescent="0.7">
      <c r="D43" s="66" t="s">
        <v>66</v>
      </c>
      <c r="E43" s="67"/>
      <c r="H43" s="68"/>
      <c r="I43" s="67" t="s">
        <v>67</v>
      </c>
    </row>
    <row r="44" spans="1:23" hidden="1" outlineLevel="1" x14ac:dyDescent="0.7">
      <c r="D44" s="69">
        <v>75000</v>
      </c>
      <c r="E44" s="70">
        <v>75000</v>
      </c>
      <c r="F44" s="71">
        <v>0</v>
      </c>
      <c r="G44" s="51"/>
      <c r="H44" s="68"/>
      <c r="I44" s="68"/>
    </row>
    <row r="45" spans="1:23" hidden="1" outlineLevel="1" x14ac:dyDescent="0.7">
      <c r="D45" s="69">
        <v>90000</v>
      </c>
      <c r="E45" s="70">
        <v>90000</v>
      </c>
      <c r="F45" s="71">
        <v>0.25</v>
      </c>
      <c r="G45" s="51">
        <v>75000</v>
      </c>
      <c r="H45" s="70">
        <v>75000</v>
      </c>
      <c r="I45" s="70"/>
    </row>
    <row r="46" spans="1:23" hidden="1" outlineLevel="1" x14ac:dyDescent="0.7">
      <c r="A46" s="69"/>
      <c r="B46" s="48"/>
      <c r="D46" s="69">
        <v>105000</v>
      </c>
      <c r="E46" s="70">
        <v>105000</v>
      </c>
      <c r="F46" s="71">
        <v>0.5</v>
      </c>
      <c r="G46" s="51">
        <v>90000</v>
      </c>
      <c r="H46" s="70">
        <v>90000</v>
      </c>
      <c r="I46" s="70">
        <v>3750</v>
      </c>
    </row>
    <row r="47" spans="1:23" hidden="1" outlineLevel="1" x14ac:dyDescent="0.7">
      <c r="D47" s="72" t="s">
        <v>68</v>
      </c>
      <c r="E47" s="73"/>
      <c r="F47" s="74">
        <v>0.75</v>
      </c>
      <c r="G47" s="75">
        <v>105000</v>
      </c>
      <c r="H47" s="75">
        <v>105000</v>
      </c>
      <c r="I47" s="76">
        <v>11250</v>
      </c>
    </row>
    <row r="48" spans="1:23" collapsed="1" x14ac:dyDescent="0.7"/>
  </sheetData>
  <mergeCells count="2">
    <mergeCell ref="I4:J4"/>
    <mergeCell ref="G16:H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4018A-1850-494C-B4EB-AE94E6DA951D}">
  <dimension ref="A1:W77"/>
  <sheetViews>
    <sheetView tabSelected="1" zoomScale="66" zoomScaleNormal="66" workbookViewId="0"/>
  </sheetViews>
  <sheetFormatPr defaultColWidth="9.15625" defaultRowHeight="18.3" outlineLevelRow="1" x14ac:dyDescent="0.7"/>
  <cols>
    <col min="1" max="1" width="42.15625" style="2" customWidth="1"/>
    <col min="2" max="2" width="19.26171875" style="2" customWidth="1"/>
    <col min="3" max="3" width="11" style="2" customWidth="1"/>
    <col min="4" max="4" width="45.20703125" style="2" customWidth="1"/>
    <col min="5" max="5" width="16" style="2" customWidth="1"/>
    <col min="6" max="6" width="13.68359375" style="2" customWidth="1"/>
    <col min="7" max="7" width="12.578125" style="2" customWidth="1"/>
    <col min="8" max="8" width="12.15625" style="2" customWidth="1"/>
    <col min="9" max="12" width="14.68359375" style="2" customWidth="1"/>
    <col min="13" max="13" width="6.41796875" style="2" customWidth="1"/>
    <col min="14" max="14" width="18.734375" style="2" customWidth="1"/>
    <col min="15" max="15" width="19.62890625" style="2" bestFit="1" customWidth="1"/>
    <col min="16" max="16" width="10.578125" style="2" customWidth="1"/>
    <col min="17" max="17" width="11.68359375" style="2" customWidth="1"/>
    <col min="18" max="18" width="12.68359375" style="2" customWidth="1"/>
    <col min="19" max="19" width="13.578125" style="2" customWidth="1"/>
    <col min="20" max="20" width="12.68359375" style="2" customWidth="1"/>
    <col min="21" max="21" width="12.41796875" style="2" customWidth="1"/>
    <col min="22" max="22" width="12.15625" style="2" customWidth="1"/>
    <col min="23" max="23" width="13.578125" style="2" customWidth="1"/>
    <col min="24" max="16384" width="9.15625" style="2"/>
  </cols>
  <sheetData>
    <row r="1" spans="1:15" x14ac:dyDescent="0.7">
      <c r="A1" s="1" t="s">
        <v>0</v>
      </c>
      <c r="B1" s="1"/>
      <c r="C1" s="1"/>
      <c r="D1" s="1"/>
      <c r="E1" s="1"/>
    </row>
    <row r="3" spans="1:15" x14ac:dyDescent="0.7">
      <c r="A3" s="3" t="s">
        <v>1</v>
      </c>
      <c r="B3" s="4"/>
      <c r="C3" s="4"/>
      <c r="D3" s="4"/>
      <c r="E3" s="5"/>
      <c r="G3" s="6" t="s">
        <v>69</v>
      </c>
      <c r="H3" s="7"/>
      <c r="I3" s="7"/>
      <c r="J3" s="7"/>
      <c r="K3" s="7"/>
      <c r="L3" s="7"/>
    </row>
    <row r="4" spans="1:15" ht="55.2" x14ac:dyDescent="0.75">
      <c r="A4" s="8"/>
      <c r="B4" s="9"/>
      <c r="C4" s="9"/>
      <c r="D4" s="9"/>
      <c r="E4" s="10"/>
      <c r="G4" s="11" t="str">
        <f>A26</f>
        <v>Year(s) Since Graduation</v>
      </c>
      <c r="H4" s="12" t="str">
        <f>B26</f>
        <v>Calendar Year</v>
      </c>
      <c r="I4" s="104" t="s">
        <v>3</v>
      </c>
      <c r="J4" s="105"/>
      <c r="K4" s="104" t="s">
        <v>70</v>
      </c>
      <c r="L4" s="105"/>
      <c r="N4" s="13" t="s">
        <v>4</v>
      </c>
      <c r="O4" s="14"/>
    </row>
    <row r="5" spans="1:15" x14ac:dyDescent="0.7">
      <c r="A5" s="15" t="s">
        <v>5</v>
      </c>
      <c r="B5" s="16">
        <v>2025</v>
      </c>
      <c r="C5" s="17"/>
      <c r="D5" s="17" t="s">
        <v>6</v>
      </c>
      <c r="E5" s="18">
        <v>170000</v>
      </c>
      <c r="G5" s="19"/>
      <c r="H5" s="20"/>
      <c r="I5" s="21" t="s">
        <v>7</v>
      </c>
      <c r="J5" s="22" t="s">
        <v>8</v>
      </c>
      <c r="K5" s="21" t="s">
        <v>7</v>
      </c>
      <c r="L5" s="22" t="s">
        <v>8</v>
      </c>
      <c r="N5" s="23" t="s">
        <v>9</v>
      </c>
      <c r="O5" s="24"/>
    </row>
    <row r="6" spans="1:15" x14ac:dyDescent="0.7">
      <c r="A6" s="15" t="s">
        <v>10</v>
      </c>
      <c r="B6" s="16">
        <v>2025</v>
      </c>
      <c r="C6" s="17"/>
      <c r="D6" s="17" t="s">
        <v>11</v>
      </c>
      <c r="E6" s="16">
        <v>12</v>
      </c>
      <c r="G6" s="19">
        <f t="shared" ref="G6:H15" si="0">A27</f>
        <v>1</v>
      </c>
      <c r="H6" s="25">
        <f t="shared" si="0"/>
        <v>2026</v>
      </c>
      <c r="I6" s="26">
        <f>T27</f>
        <v>8750</v>
      </c>
      <c r="J6" s="27">
        <f t="shared" ref="J6:J17" si="1">U27</f>
        <v>11689.190195145562</v>
      </c>
      <c r="K6" s="103">
        <f>IF($B$5&lt;2028,IF(SUM(G65-L6)&gt;22500,VALUE("22,500"),SUM(G65-L6)),IF(SUM(G65-L6)&gt;26000,VALUE("26,000"),SUM(G65-L6)))</f>
        <v>0</v>
      </c>
      <c r="L6" s="27">
        <f t="shared" ref="L6:L17" si="2">IF(G65&lt;J6,G65,H65)</f>
        <v>10000</v>
      </c>
      <c r="N6" s="23" t="s">
        <v>12</v>
      </c>
      <c r="O6" s="24"/>
    </row>
    <row r="7" spans="1:15" x14ac:dyDescent="0.7">
      <c r="A7" s="15" t="s">
        <v>13</v>
      </c>
      <c r="B7" s="16">
        <v>2037</v>
      </c>
      <c r="C7" s="17"/>
      <c r="D7" s="17" t="s">
        <v>14</v>
      </c>
      <c r="E7" s="28">
        <v>6.5000000000000002E-2</v>
      </c>
      <c r="G7" s="19">
        <f t="shared" si="0"/>
        <v>2</v>
      </c>
      <c r="H7" s="25">
        <f t="shared" si="0"/>
        <v>2027</v>
      </c>
      <c r="I7" s="26">
        <f t="shared" ref="I7:I17" si="3">T28</f>
        <v>8000</v>
      </c>
      <c r="J7" s="27">
        <f t="shared" si="1"/>
        <v>12439.190195145562</v>
      </c>
      <c r="K7" s="103">
        <f t="shared" ref="K7:K17" si="4">IF($B$5&lt;2028,IF(SUM(G66-L7)&gt;22500,VALUE("22,500"),SUM(G66-L7)),IF(SUM(G66-L7)&gt;26000,VALUE("26,000"),SUM(G66-L7)))</f>
        <v>0</v>
      </c>
      <c r="L7" s="27">
        <f t="shared" si="2"/>
        <v>10000</v>
      </c>
      <c r="N7" s="29" t="s">
        <v>15</v>
      </c>
      <c r="O7" s="30"/>
    </row>
    <row r="8" spans="1:15" x14ac:dyDescent="0.7">
      <c r="A8" s="15"/>
      <c r="B8" s="17"/>
      <c r="C8" s="17"/>
      <c r="D8" s="17" t="s">
        <v>16</v>
      </c>
      <c r="E8" s="31">
        <f>((E7/12)+((E7/12)/(((1+(E7/12))^(12*E6))-1)))*E5</f>
        <v>1703.2658495954636</v>
      </c>
      <c r="G8" s="19">
        <f t="shared" si="0"/>
        <v>3</v>
      </c>
      <c r="H8" s="25">
        <f t="shared" si="0"/>
        <v>2028</v>
      </c>
      <c r="I8" s="26">
        <f t="shared" si="3"/>
        <v>7250</v>
      </c>
      <c r="J8" s="27">
        <f t="shared" si="1"/>
        <v>13189.190195145562</v>
      </c>
      <c r="K8" s="103">
        <f t="shared" si="4"/>
        <v>0</v>
      </c>
      <c r="L8" s="27">
        <f t="shared" si="2"/>
        <v>10000</v>
      </c>
    </row>
    <row r="9" spans="1:15" x14ac:dyDescent="0.7">
      <c r="A9" s="15" t="s">
        <v>17</v>
      </c>
      <c r="B9" s="18">
        <v>100000</v>
      </c>
      <c r="C9" s="17"/>
      <c r="D9" s="17"/>
      <c r="E9" s="32"/>
      <c r="G9" s="19">
        <f t="shared" si="0"/>
        <v>4</v>
      </c>
      <c r="H9" s="25">
        <f t="shared" si="0"/>
        <v>2029</v>
      </c>
      <c r="I9" s="26">
        <f t="shared" si="3"/>
        <v>6500</v>
      </c>
      <c r="J9" s="27">
        <f t="shared" si="1"/>
        <v>13939.190195145562</v>
      </c>
      <c r="K9" s="103">
        <f t="shared" si="4"/>
        <v>0</v>
      </c>
      <c r="L9" s="27">
        <f t="shared" si="2"/>
        <v>10000</v>
      </c>
      <c r="N9" s="33" t="s">
        <v>18</v>
      </c>
      <c r="O9" s="34"/>
    </row>
    <row r="10" spans="1:15" x14ac:dyDescent="0.7">
      <c r="A10" s="15" t="s">
        <v>19</v>
      </c>
      <c r="B10" s="35">
        <v>0</v>
      </c>
      <c r="C10" s="17"/>
      <c r="D10" s="17" t="s">
        <v>20</v>
      </c>
      <c r="E10" s="18">
        <v>0</v>
      </c>
      <c r="G10" s="19">
        <f t="shared" si="0"/>
        <v>5</v>
      </c>
      <c r="H10" s="25">
        <f t="shared" si="0"/>
        <v>2030</v>
      </c>
      <c r="I10" s="26">
        <f t="shared" si="3"/>
        <v>5750</v>
      </c>
      <c r="J10" s="27">
        <f t="shared" si="1"/>
        <v>14689.190195145562</v>
      </c>
      <c r="K10" s="103">
        <f t="shared" si="4"/>
        <v>0</v>
      </c>
      <c r="L10" s="27">
        <f t="shared" si="2"/>
        <v>10000</v>
      </c>
      <c r="N10" s="23" t="s">
        <v>21</v>
      </c>
      <c r="O10" s="36"/>
    </row>
    <row r="11" spans="1:15" x14ac:dyDescent="0.7">
      <c r="A11" s="15"/>
      <c r="B11" s="17"/>
      <c r="C11" s="17"/>
      <c r="D11" s="17" t="s">
        <v>22</v>
      </c>
      <c r="E11" s="16">
        <v>12</v>
      </c>
      <c r="G11" s="19">
        <f t="shared" si="0"/>
        <v>6</v>
      </c>
      <c r="H11" s="25">
        <f t="shared" si="0"/>
        <v>2031</v>
      </c>
      <c r="I11" s="26">
        <f t="shared" si="3"/>
        <v>5000</v>
      </c>
      <c r="J11" s="27">
        <f t="shared" si="1"/>
        <v>15439.190195145562</v>
      </c>
      <c r="K11" s="103">
        <f t="shared" si="4"/>
        <v>0</v>
      </c>
      <c r="L11" s="27">
        <f t="shared" si="2"/>
        <v>10000</v>
      </c>
      <c r="N11" s="29" t="s">
        <v>23</v>
      </c>
      <c r="O11" s="37"/>
    </row>
    <row r="12" spans="1:15" x14ac:dyDescent="0.7">
      <c r="A12" s="15" t="s">
        <v>24</v>
      </c>
      <c r="B12" s="38" t="s">
        <v>25</v>
      </c>
      <c r="C12" s="17"/>
      <c r="D12" s="17" t="s">
        <v>26</v>
      </c>
      <c r="E12" s="28">
        <v>6.5000000000000002E-2</v>
      </c>
      <c r="G12" s="19">
        <f t="shared" si="0"/>
        <v>7</v>
      </c>
      <c r="H12" s="25">
        <f t="shared" si="0"/>
        <v>2032</v>
      </c>
      <c r="I12" s="26">
        <f t="shared" si="3"/>
        <v>4250</v>
      </c>
      <c r="J12" s="27">
        <f t="shared" si="1"/>
        <v>16189.190195145562</v>
      </c>
      <c r="K12" s="103">
        <f t="shared" si="4"/>
        <v>0</v>
      </c>
      <c r="L12" s="27">
        <f t="shared" si="2"/>
        <v>10000</v>
      </c>
    </row>
    <row r="13" spans="1:15" x14ac:dyDescent="0.7">
      <c r="A13" s="15" t="s">
        <v>27</v>
      </c>
      <c r="B13" s="18">
        <v>0</v>
      </c>
      <c r="C13" s="17"/>
      <c r="D13" s="17" t="s">
        <v>28</v>
      </c>
      <c r="E13" s="39">
        <f>((E12/12)+((E12/12)/(((1+(E12/12))^(12*E11))-1)))*E10</f>
        <v>0</v>
      </c>
      <c r="G13" s="19">
        <f t="shared" si="0"/>
        <v>8</v>
      </c>
      <c r="H13" s="25">
        <f t="shared" si="0"/>
        <v>2033</v>
      </c>
      <c r="I13" s="26">
        <f t="shared" si="3"/>
        <v>3625</v>
      </c>
      <c r="J13" s="27">
        <f t="shared" si="1"/>
        <v>16814.190195145562</v>
      </c>
      <c r="K13" s="103">
        <f t="shared" si="4"/>
        <v>0</v>
      </c>
      <c r="L13" s="27">
        <f t="shared" si="2"/>
        <v>10000</v>
      </c>
    </row>
    <row r="14" spans="1:15" x14ac:dyDescent="0.7">
      <c r="A14" s="15" t="s">
        <v>29</v>
      </c>
      <c r="B14" s="28">
        <v>0.03</v>
      </c>
      <c r="C14" s="17"/>
      <c r="D14" s="17"/>
      <c r="E14" s="32"/>
      <c r="G14" s="19">
        <f t="shared" si="0"/>
        <v>9</v>
      </c>
      <c r="H14" s="25">
        <f t="shared" si="0"/>
        <v>2034</v>
      </c>
      <c r="I14" s="26">
        <f t="shared" si="3"/>
        <v>3250</v>
      </c>
      <c r="J14" s="27">
        <f t="shared" si="1"/>
        <v>17189.190195145562</v>
      </c>
      <c r="K14" s="103">
        <f t="shared" si="4"/>
        <v>0</v>
      </c>
      <c r="L14" s="27">
        <f t="shared" si="2"/>
        <v>10000</v>
      </c>
      <c r="N14" s="33" t="s">
        <v>30</v>
      </c>
      <c r="O14" s="40"/>
    </row>
    <row r="15" spans="1:15" x14ac:dyDescent="0.7">
      <c r="A15" s="15" t="s">
        <v>31</v>
      </c>
      <c r="B15" s="41">
        <v>1000</v>
      </c>
      <c r="C15" s="17"/>
      <c r="D15" s="17"/>
      <c r="E15" s="32"/>
      <c r="G15" s="19">
        <f t="shared" si="0"/>
        <v>10</v>
      </c>
      <c r="H15" s="25">
        <f t="shared" si="0"/>
        <v>2035</v>
      </c>
      <c r="I15" s="26">
        <f t="shared" si="3"/>
        <v>2875</v>
      </c>
      <c r="J15" s="27">
        <f t="shared" si="1"/>
        <v>17564.190195145562</v>
      </c>
      <c r="K15" s="103">
        <f t="shared" si="4"/>
        <v>0</v>
      </c>
      <c r="L15" s="27">
        <f t="shared" si="2"/>
        <v>10000</v>
      </c>
      <c r="N15" s="29" t="s">
        <v>32</v>
      </c>
      <c r="O15" s="30"/>
    </row>
    <row r="16" spans="1:15" x14ac:dyDescent="0.7">
      <c r="A16" s="42"/>
      <c r="B16" s="43"/>
      <c r="C16" s="17"/>
      <c r="D16" s="17"/>
      <c r="E16" s="32"/>
      <c r="G16" s="77">
        <f>SUM(G15+1)</f>
        <v>11</v>
      </c>
      <c r="H16" s="78">
        <f>SUM(H15+1)</f>
        <v>2036</v>
      </c>
      <c r="I16" s="79">
        <f t="shared" si="3"/>
        <v>2500</v>
      </c>
      <c r="J16" s="80">
        <f t="shared" si="1"/>
        <v>17939.190195145562</v>
      </c>
      <c r="K16" s="103">
        <f t="shared" si="4"/>
        <v>0</v>
      </c>
      <c r="L16" s="27">
        <f t="shared" si="2"/>
        <v>10000</v>
      </c>
    </row>
    <row r="17" spans="1:23" x14ac:dyDescent="0.7">
      <c r="A17" s="15" t="s">
        <v>34</v>
      </c>
      <c r="B17" s="16">
        <v>0</v>
      </c>
      <c r="C17" s="17"/>
      <c r="D17" s="17" t="s">
        <v>35</v>
      </c>
      <c r="E17" s="46"/>
      <c r="G17" s="77">
        <f>SUM(G16+1)</f>
        <v>12</v>
      </c>
      <c r="H17" s="78">
        <f>SUM(H16+1)</f>
        <v>2037</v>
      </c>
      <c r="I17" s="81">
        <f t="shared" si="3"/>
        <v>2125</v>
      </c>
      <c r="J17" s="80">
        <f t="shared" si="1"/>
        <v>18314.190195145562</v>
      </c>
      <c r="K17" s="103">
        <f t="shared" si="4"/>
        <v>0</v>
      </c>
      <c r="L17" s="27">
        <f t="shared" si="2"/>
        <v>10000</v>
      </c>
    </row>
    <row r="18" spans="1:23" x14ac:dyDescent="0.7">
      <c r="A18" s="15"/>
      <c r="B18" s="17"/>
      <c r="C18" s="17"/>
      <c r="D18" s="17"/>
      <c r="E18" s="32"/>
      <c r="G18" s="104" t="s">
        <v>33</v>
      </c>
      <c r="H18" s="105"/>
      <c r="I18" s="44">
        <f>SUM(I6:I15)</f>
        <v>55250</v>
      </c>
      <c r="J18" s="45">
        <f>SUM(J6:J15)</f>
        <v>149141.90195145563</v>
      </c>
      <c r="K18" s="44">
        <f>SUM(K6:K17)</f>
        <v>0</v>
      </c>
      <c r="L18" s="45">
        <f>SUM(L6:L17)</f>
        <v>120000</v>
      </c>
    </row>
    <row r="19" spans="1:23" x14ac:dyDescent="0.7">
      <c r="A19" s="15" t="s">
        <v>36</v>
      </c>
      <c r="B19" s="41">
        <v>0</v>
      </c>
      <c r="C19" s="17"/>
      <c r="D19" s="17"/>
      <c r="E19" s="32"/>
      <c r="J19" s="47"/>
      <c r="N19" s="48"/>
      <c r="O19" s="48"/>
    </row>
    <row r="20" spans="1:23" x14ac:dyDescent="0.7">
      <c r="A20" s="15" t="s">
        <v>37</v>
      </c>
      <c r="B20" s="28">
        <v>0.03</v>
      </c>
      <c r="C20" s="17"/>
      <c r="D20" s="17"/>
      <c r="E20" s="32"/>
      <c r="G20" s="33" t="s">
        <v>38</v>
      </c>
      <c r="H20" s="49"/>
      <c r="I20" s="50">
        <v>310000</v>
      </c>
      <c r="N20" s="48"/>
      <c r="O20" s="48"/>
      <c r="S20" s="51"/>
    </row>
    <row r="21" spans="1:23" x14ac:dyDescent="0.7">
      <c r="A21" s="15"/>
      <c r="B21" s="17"/>
      <c r="C21" s="17"/>
      <c r="D21" s="17"/>
      <c r="E21" s="32"/>
      <c r="G21" s="23" t="s">
        <v>39</v>
      </c>
      <c r="H21" s="52"/>
      <c r="I21" s="53"/>
      <c r="N21" s="48"/>
      <c r="O21" s="48"/>
    </row>
    <row r="22" spans="1:23" x14ac:dyDescent="0.7">
      <c r="A22" s="54" t="s">
        <v>40</v>
      </c>
      <c r="B22" s="41">
        <v>0</v>
      </c>
      <c r="C22" s="55"/>
      <c r="D22" s="55"/>
      <c r="E22" s="56"/>
      <c r="G22" s="23" t="s">
        <v>41</v>
      </c>
      <c r="H22" s="52"/>
      <c r="I22" s="36"/>
      <c r="N22" s="48"/>
      <c r="O22" s="48"/>
    </row>
    <row r="23" spans="1:23" x14ac:dyDescent="0.7">
      <c r="G23" s="29" t="s">
        <v>42</v>
      </c>
      <c r="H23" s="57"/>
      <c r="I23" s="37"/>
    </row>
    <row r="24" spans="1:23" outlineLevel="1" x14ac:dyDescent="0.7"/>
    <row r="25" spans="1:23" outlineLevel="1" x14ac:dyDescent="0.7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</row>
    <row r="26" spans="1:23" ht="73.2" outlineLevel="1" x14ac:dyDescent="0.7">
      <c r="A26" s="59" t="s">
        <v>43</v>
      </c>
      <c r="B26" s="59" t="s">
        <v>44</v>
      </c>
      <c r="C26" s="59" t="s">
        <v>45</v>
      </c>
      <c r="D26" s="59" t="s">
        <v>46</v>
      </c>
      <c r="E26" s="59" t="s">
        <v>47</v>
      </c>
      <c r="F26" s="59" t="s">
        <v>48</v>
      </c>
      <c r="G26" s="59" t="s">
        <v>49</v>
      </c>
      <c r="H26" s="59" t="s">
        <v>50</v>
      </c>
      <c r="I26" s="59" t="s">
        <v>51</v>
      </c>
      <c r="J26" s="59" t="s">
        <v>52</v>
      </c>
      <c r="K26" s="59" t="s">
        <v>53</v>
      </c>
      <c r="L26" s="59" t="s">
        <v>54</v>
      </c>
      <c r="M26" s="59"/>
      <c r="N26" s="59"/>
      <c r="O26" s="59" t="s">
        <v>55</v>
      </c>
      <c r="P26" s="59"/>
      <c r="Q26" s="59" t="s">
        <v>56</v>
      </c>
      <c r="R26" s="59" t="s">
        <v>57</v>
      </c>
      <c r="S26" s="59" t="s">
        <v>58</v>
      </c>
      <c r="T26" s="59" t="s">
        <v>59</v>
      </c>
      <c r="U26" s="59" t="s">
        <v>60</v>
      </c>
      <c r="V26" s="59"/>
      <c r="W26" s="59"/>
    </row>
    <row r="27" spans="1:23" outlineLevel="1" x14ac:dyDescent="0.7">
      <c r="A27" s="2">
        <v>1</v>
      </c>
      <c r="B27" s="2">
        <f>$B$5+A27</f>
        <v>2026</v>
      </c>
      <c r="C27" s="2" t="str">
        <f>IF(B27&lt;$B$6, "No", IF(B27&gt;$B$7, "No", "Yes"))</f>
        <v>Yes</v>
      </c>
      <c r="D27" s="51">
        <f>B9</f>
        <v>100000</v>
      </c>
      <c r="E27" s="51">
        <f>B13</f>
        <v>0</v>
      </c>
      <c r="F27" s="60">
        <f>E27-(12*$B$15)</f>
        <v>-12000</v>
      </c>
      <c r="G27" s="51">
        <f>MAX(D27, 0.5*(D27+F27))</f>
        <v>100000</v>
      </c>
      <c r="H27" s="51">
        <f>B19</f>
        <v>0</v>
      </c>
      <c r="I27" s="60">
        <f>MAX(0,$B$22-200000)</f>
        <v>0</v>
      </c>
      <c r="J27" s="51">
        <f>8000*$B$17</f>
        <v>0</v>
      </c>
      <c r="K27" s="51">
        <f>MAX(0, 1000*(COUNTIF($C$27:$C27,"Yes")-1))</f>
        <v>0</v>
      </c>
      <c r="L27" s="51">
        <f>G27+H27+I27-J27-K27</f>
        <v>100000</v>
      </c>
      <c r="M27" s="60"/>
      <c r="N27" s="51"/>
      <c r="O27" s="51">
        <f>$E$8*12</f>
        <v>20439.190195145562</v>
      </c>
      <c r="P27" s="51"/>
      <c r="Q27" s="51">
        <f>$E$13*12</f>
        <v>0</v>
      </c>
      <c r="R27" s="51">
        <f>P27+Q27</f>
        <v>0</v>
      </c>
      <c r="S27" s="51">
        <f>O27+Q27</f>
        <v>20439.190195145562</v>
      </c>
      <c r="T27" s="51">
        <f>IF(C27= "Yes", MIN(S27, (IF(L27&lt;'LRAP+Flywheel'!$D$44,0,IF(L27&lt;'LRAP+Flywheel'!$D$45,'LRAP+Flywheel'!$F$45*(L27-'LRAP+Flywheel'!$G$45),IF(L27&lt;'LRAP+Flywheel'!$D$46,'LRAP+Flywheel'!$F$46*(L27-'LRAP+Flywheel'!$G$46)+'LRAP+Flywheel'!$I$46,'LRAP+Flywheel'!$F$47*(L27-'LRAP+Flywheel'!$G$47)+'LRAP+Flywheel'!$I$47))))), "Not in Program")</f>
        <v>8750</v>
      </c>
      <c r="U27" s="51">
        <f>IF(C27="Yes", S27-T27, "Not in Program")</f>
        <v>11689.190195145562</v>
      </c>
      <c r="V27" s="51"/>
      <c r="W27" s="51"/>
    </row>
    <row r="28" spans="1:23" outlineLevel="1" x14ac:dyDescent="0.7">
      <c r="A28" s="2">
        <v>2</v>
      </c>
      <c r="B28" s="2">
        <f t="shared" ref="B28:B38" si="5">$B$5+A28</f>
        <v>2027</v>
      </c>
      <c r="C28" s="2" t="str">
        <f>IF(B28&lt;$B$6, "No", IF(B28&gt;$B$7, "No", "Yes"))</f>
        <v>Yes</v>
      </c>
      <c r="D28" s="51">
        <f>D27*(1+$B$10)</f>
        <v>100000</v>
      </c>
      <c r="E28" s="51">
        <f>E27*(1+$B$14)</f>
        <v>0</v>
      </c>
      <c r="F28" s="60">
        <f t="shared" ref="F28:F38" si="6">E28-(12*$B$15)</f>
        <v>-12000</v>
      </c>
      <c r="G28" s="51">
        <f t="shared" ref="G28:G38" si="7">MAX(D28, 0.5*(D28+F28))</f>
        <v>100000</v>
      </c>
      <c r="H28" s="51">
        <f>H27*(1+$B$20)</f>
        <v>0</v>
      </c>
      <c r="I28" s="60">
        <f t="shared" ref="I28:I38" si="8">MAX(0,$B$22-200000)</f>
        <v>0</v>
      </c>
      <c r="J28" s="51">
        <f t="shared" ref="J28:J38" si="9">8000*$B$17</f>
        <v>0</v>
      </c>
      <c r="K28" s="51">
        <f>MAX(0, 1500*(COUNTIF($C$27:$C28,"Yes")-1))</f>
        <v>1500</v>
      </c>
      <c r="L28" s="51">
        <f t="shared" ref="L28:L38" si="10">G28+H28+I28-J28-K28</f>
        <v>98500</v>
      </c>
      <c r="M28" s="60"/>
      <c r="N28" s="51"/>
      <c r="O28" s="51">
        <f t="shared" ref="O28:O38" si="11">$E$8*12</f>
        <v>20439.190195145562</v>
      </c>
      <c r="P28" s="51"/>
      <c r="Q28" s="51">
        <f t="shared" ref="Q28:Q38" si="12">$E$13*12</f>
        <v>0</v>
      </c>
      <c r="R28" s="51">
        <f t="shared" ref="R28:R38" si="13">P28+Q28</f>
        <v>0</v>
      </c>
      <c r="S28" s="51">
        <f t="shared" ref="S28:S38" si="14">O28+Q28</f>
        <v>20439.190195145562</v>
      </c>
      <c r="T28" s="51">
        <f>IF(C28= "Yes", MIN(S28, (IF(L28&lt;'LRAP+Flywheel'!$D$44,0,IF(L28&lt;'LRAP+Flywheel'!$D$45,'LRAP+Flywheel'!$F$45*(L28-'LRAP+Flywheel'!$G$45),IF(L28&lt;'LRAP+Flywheel'!$D$46,'LRAP+Flywheel'!$F$46*(L28-'LRAP+Flywheel'!$G$46)+'LRAP+Flywheel'!$I$46,'LRAP+Flywheel'!$F$47*(L28-'LRAP+Flywheel'!$G$47)+'LRAP+Flywheel'!$I$47))))), "Not in Program")</f>
        <v>8000</v>
      </c>
      <c r="U28" s="51">
        <f t="shared" ref="U28:U38" si="15">IF(C28="Yes", S28-T28, "Not in Program")</f>
        <v>12439.190195145562</v>
      </c>
      <c r="V28" s="51"/>
      <c r="W28" s="51"/>
    </row>
    <row r="29" spans="1:23" outlineLevel="1" x14ac:dyDescent="0.7">
      <c r="A29" s="2">
        <v>3</v>
      </c>
      <c r="B29" s="2">
        <f t="shared" si="5"/>
        <v>2028</v>
      </c>
      <c r="C29" s="2" t="str">
        <f t="shared" ref="C29:C38" si="16">IF(B29&lt;$B$6, "No", IF(B29&gt;$B$7, "No", "Yes"))</f>
        <v>Yes</v>
      </c>
      <c r="D29" s="51">
        <f t="shared" ref="D29:D38" si="17">D28*(1+$B$10)</f>
        <v>100000</v>
      </c>
      <c r="E29" s="51">
        <f t="shared" ref="E29:E38" si="18">E28*(1+$B$14)</f>
        <v>0</v>
      </c>
      <c r="F29" s="60">
        <f t="shared" si="6"/>
        <v>-12000</v>
      </c>
      <c r="G29" s="51">
        <f t="shared" si="7"/>
        <v>100000</v>
      </c>
      <c r="H29" s="51">
        <f t="shared" ref="H29:H38" si="19">H28*(1+$B$20)</f>
        <v>0</v>
      </c>
      <c r="I29" s="60">
        <f t="shared" si="8"/>
        <v>0</v>
      </c>
      <c r="J29" s="51">
        <f t="shared" si="9"/>
        <v>0</v>
      </c>
      <c r="K29" s="51">
        <f>MAX(0, 1500*(COUNTIF($C$27:$C29,"Yes")-1))</f>
        <v>3000</v>
      </c>
      <c r="L29" s="51">
        <f t="shared" si="10"/>
        <v>97000</v>
      </c>
      <c r="M29" s="60"/>
      <c r="N29" s="51"/>
      <c r="O29" s="51">
        <f t="shared" si="11"/>
        <v>20439.190195145562</v>
      </c>
      <c r="P29" s="51"/>
      <c r="Q29" s="51">
        <f t="shared" si="12"/>
        <v>0</v>
      </c>
      <c r="R29" s="51">
        <f t="shared" si="13"/>
        <v>0</v>
      </c>
      <c r="S29" s="51">
        <f t="shared" si="14"/>
        <v>20439.190195145562</v>
      </c>
      <c r="T29" s="51">
        <f>IF(C29= "Yes", MIN(S29, (IF(L29&lt;'LRAP+Flywheel'!$D$44,0,IF(L29&lt;'LRAP+Flywheel'!$D$45,'LRAP+Flywheel'!$F$45*(L29-'LRAP+Flywheel'!$G$45),IF(L29&lt;'LRAP+Flywheel'!$D$46,'LRAP+Flywheel'!$F$46*(L29-'LRAP+Flywheel'!$G$46)+'LRAP+Flywheel'!$I$46,'LRAP+Flywheel'!$F$47*(L29-'LRAP+Flywheel'!$G$47)+'LRAP+Flywheel'!$I$47))))), "Not in Program")</f>
        <v>7250</v>
      </c>
      <c r="U29" s="51">
        <f t="shared" si="15"/>
        <v>13189.190195145562</v>
      </c>
      <c r="V29" s="51"/>
      <c r="W29" s="51"/>
    </row>
    <row r="30" spans="1:23" outlineLevel="1" x14ac:dyDescent="0.7">
      <c r="A30" s="2">
        <v>4</v>
      </c>
      <c r="B30" s="2">
        <f t="shared" si="5"/>
        <v>2029</v>
      </c>
      <c r="C30" s="2" t="str">
        <f t="shared" si="16"/>
        <v>Yes</v>
      </c>
      <c r="D30" s="51">
        <f t="shared" si="17"/>
        <v>100000</v>
      </c>
      <c r="E30" s="51">
        <f t="shared" si="18"/>
        <v>0</v>
      </c>
      <c r="F30" s="60">
        <f t="shared" si="6"/>
        <v>-12000</v>
      </c>
      <c r="G30" s="51">
        <f t="shared" si="7"/>
        <v>100000</v>
      </c>
      <c r="H30" s="51">
        <f t="shared" si="19"/>
        <v>0</v>
      </c>
      <c r="I30" s="60">
        <f t="shared" si="8"/>
        <v>0</v>
      </c>
      <c r="J30" s="51">
        <f t="shared" si="9"/>
        <v>0</v>
      </c>
      <c r="K30" s="51">
        <f>MAX(0, 1500*(COUNTIF($C$27:$C30,"Yes")-1))</f>
        <v>4500</v>
      </c>
      <c r="L30" s="51">
        <f t="shared" si="10"/>
        <v>95500</v>
      </c>
      <c r="M30" s="60"/>
      <c r="N30" s="51"/>
      <c r="O30" s="51">
        <f t="shared" si="11"/>
        <v>20439.190195145562</v>
      </c>
      <c r="P30" s="51"/>
      <c r="Q30" s="51">
        <f t="shared" si="12"/>
        <v>0</v>
      </c>
      <c r="R30" s="51">
        <f t="shared" si="13"/>
        <v>0</v>
      </c>
      <c r="S30" s="51">
        <f t="shared" si="14"/>
        <v>20439.190195145562</v>
      </c>
      <c r="T30" s="51">
        <f>IF(C30= "Yes", MIN(S30, (IF(L30&lt;'LRAP+Flywheel'!$D$44,0,IF(L30&lt;'LRAP+Flywheel'!$D$45,'LRAP+Flywheel'!$F$45*(L30-'LRAP+Flywheel'!$G$45),IF(L30&lt;'LRAP+Flywheel'!$D$46,'LRAP+Flywheel'!$F$46*(L30-'LRAP+Flywheel'!$G$46)+'LRAP+Flywheel'!$I$46,'LRAP+Flywheel'!$F$47*(L30-'LRAP+Flywheel'!$G$47)+'LRAP+Flywheel'!$I$47))))), "Not in Program")</f>
        <v>6500</v>
      </c>
      <c r="U30" s="51">
        <f t="shared" si="15"/>
        <v>13939.190195145562</v>
      </c>
      <c r="V30" s="51"/>
      <c r="W30" s="51"/>
    </row>
    <row r="31" spans="1:23" outlineLevel="1" x14ac:dyDescent="0.7">
      <c r="A31" s="2">
        <v>5</v>
      </c>
      <c r="B31" s="2">
        <f t="shared" si="5"/>
        <v>2030</v>
      </c>
      <c r="C31" s="2" t="str">
        <f t="shared" si="16"/>
        <v>Yes</v>
      </c>
      <c r="D31" s="51">
        <f t="shared" si="17"/>
        <v>100000</v>
      </c>
      <c r="E31" s="51">
        <f t="shared" si="18"/>
        <v>0</v>
      </c>
      <c r="F31" s="60">
        <f t="shared" si="6"/>
        <v>-12000</v>
      </c>
      <c r="G31" s="51">
        <f t="shared" si="7"/>
        <v>100000</v>
      </c>
      <c r="H31" s="51">
        <f t="shared" si="19"/>
        <v>0</v>
      </c>
      <c r="I31" s="60">
        <f t="shared" si="8"/>
        <v>0</v>
      </c>
      <c r="J31" s="51">
        <f t="shared" si="9"/>
        <v>0</v>
      </c>
      <c r="K31" s="51">
        <f>MAX(0, 1500*(COUNTIF($C$27:$C31,"Yes")-1))</f>
        <v>6000</v>
      </c>
      <c r="L31" s="51">
        <f t="shared" si="10"/>
        <v>94000</v>
      </c>
      <c r="M31" s="60"/>
      <c r="N31" s="51"/>
      <c r="O31" s="51">
        <f t="shared" si="11"/>
        <v>20439.190195145562</v>
      </c>
      <c r="P31" s="51"/>
      <c r="Q31" s="51">
        <f t="shared" si="12"/>
        <v>0</v>
      </c>
      <c r="R31" s="51">
        <f t="shared" si="13"/>
        <v>0</v>
      </c>
      <c r="S31" s="51">
        <f t="shared" si="14"/>
        <v>20439.190195145562</v>
      </c>
      <c r="T31" s="51">
        <f>IF(C31= "Yes", MIN(S31, (IF(L31&lt;'LRAP+Flywheel'!$D$44,0,IF(L31&lt;'LRAP+Flywheel'!$D$45,'LRAP+Flywheel'!$F$45*(L31-'LRAP+Flywheel'!$G$45),IF(L31&lt;'LRAP+Flywheel'!$D$46,'LRAP+Flywheel'!$F$46*(L31-'LRAP+Flywheel'!$G$46)+'LRAP+Flywheel'!$I$46,'LRAP+Flywheel'!$F$47*(L31-'LRAP+Flywheel'!$G$47)+'LRAP+Flywheel'!$I$47))))), "Not in Program")</f>
        <v>5750</v>
      </c>
      <c r="U31" s="51">
        <f t="shared" si="15"/>
        <v>14689.190195145562</v>
      </c>
      <c r="V31" s="51"/>
      <c r="W31" s="51"/>
    </row>
    <row r="32" spans="1:23" outlineLevel="1" x14ac:dyDescent="0.7">
      <c r="A32" s="2">
        <v>6</v>
      </c>
      <c r="B32" s="2">
        <f t="shared" si="5"/>
        <v>2031</v>
      </c>
      <c r="C32" s="2" t="str">
        <f t="shared" si="16"/>
        <v>Yes</v>
      </c>
      <c r="D32" s="51">
        <f t="shared" si="17"/>
        <v>100000</v>
      </c>
      <c r="E32" s="51">
        <f t="shared" si="18"/>
        <v>0</v>
      </c>
      <c r="F32" s="60">
        <f t="shared" si="6"/>
        <v>-12000</v>
      </c>
      <c r="G32" s="51">
        <f t="shared" si="7"/>
        <v>100000</v>
      </c>
      <c r="H32" s="51">
        <f t="shared" si="19"/>
        <v>0</v>
      </c>
      <c r="I32" s="60">
        <f t="shared" si="8"/>
        <v>0</v>
      </c>
      <c r="J32" s="51">
        <f t="shared" si="9"/>
        <v>0</v>
      </c>
      <c r="K32" s="51">
        <f>MAX(0, 1500*(COUNTIF($C$27:$C32,"Yes")-1))</f>
        <v>7500</v>
      </c>
      <c r="L32" s="51">
        <f t="shared" si="10"/>
        <v>92500</v>
      </c>
      <c r="M32" s="60"/>
      <c r="N32" s="51"/>
      <c r="O32" s="51">
        <f t="shared" si="11"/>
        <v>20439.190195145562</v>
      </c>
      <c r="P32" s="51"/>
      <c r="Q32" s="51">
        <f t="shared" si="12"/>
        <v>0</v>
      </c>
      <c r="R32" s="51">
        <f t="shared" si="13"/>
        <v>0</v>
      </c>
      <c r="S32" s="51">
        <f t="shared" si="14"/>
        <v>20439.190195145562</v>
      </c>
      <c r="T32" s="51">
        <f>IF(C32= "Yes", MIN(S32, (IF(L32&lt;'LRAP+Flywheel'!$D$44,0,IF(L32&lt;'LRAP+Flywheel'!$D$45,'LRAP+Flywheel'!$F$45*(L32-'LRAP+Flywheel'!$G$45),IF(L32&lt;'LRAP+Flywheel'!$D$46,'LRAP+Flywheel'!$F$46*(L32-'LRAP+Flywheel'!$G$46)+'LRAP+Flywheel'!$I$46,'LRAP+Flywheel'!$F$47*(L32-'LRAP+Flywheel'!$G$47)+'LRAP+Flywheel'!$I$47))))), "Not in Program")</f>
        <v>5000</v>
      </c>
      <c r="U32" s="51">
        <f t="shared" si="15"/>
        <v>15439.190195145562</v>
      </c>
      <c r="V32" s="51"/>
      <c r="W32" s="51"/>
    </row>
    <row r="33" spans="1:23" outlineLevel="1" x14ac:dyDescent="0.7">
      <c r="A33" s="2">
        <v>7</v>
      </c>
      <c r="B33" s="2">
        <f t="shared" si="5"/>
        <v>2032</v>
      </c>
      <c r="C33" s="2" t="str">
        <f t="shared" si="16"/>
        <v>Yes</v>
      </c>
      <c r="D33" s="51">
        <f t="shared" si="17"/>
        <v>100000</v>
      </c>
      <c r="E33" s="51">
        <f t="shared" si="18"/>
        <v>0</v>
      </c>
      <c r="F33" s="60">
        <f t="shared" si="6"/>
        <v>-12000</v>
      </c>
      <c r="G33" s="51">
        <f t="shared" si="7"/>
        <v>100000</v>
      </c>
      <c r="H33" s="51">
        <f t="shared" si="19"/>
        <v>0</v>
      </c>
      <c r="I33" s="60">
        <f t="shared" si="8"/>
        <v>0</v>
      </c>
      <c r="J33" s="51">
        <f t="shared" si="9"/>
        <v>0</v>
      </c>
      <c r="K33" s="51">
        <f>MAX(0, 1500*(COUNTIF($C$27:$C33,"Yes")-1))</f>
        <v>9000</v>
      </c>
      <c r="L33" s="51">
        <f t="shared" si="10"/>
        <v>91000</v>
      </c>
      <c r="M33" s="60"/>
      <c r="N33" s="51"/>
      <c r="O33" s="51">
        <f t="shared" si="11"/>
        <v>20439.190195145562</v>
      </c>
      <c r="P33" s="51"/>
      <c r="Q33" s="51">
        <f t="shared" si="12"/>
        <v>0</v>
      </c>
      <c r="R33" s="51">
        <f t="shared" si="13"/>
        <v>0</v>
      </c>
      <c r="S33" s="51">
        <f t="shared" si="14"/>
        <v>20439.190195145562</v>
      </c>
      <c r="T33" s="51">
        <f>IF(C33= "Yes", MIN(S33, (IF(L33&lt;'LRAP+Flywheel'!$D$44,0,IF(L33&lt;'LRAP+Flywheel'!$D$45,'LRAP+Flywheel'!$F$45*(L33-'LRAP+Flywheel'!$G$45),IF(L33&lt;'LRAP+Flywheel'!$D$46,'LRAP+Flywheel'!$F$46*(L33-'LRAP+Flywheel'!$G$46)+'LRAP+Flywheel'!$I$46,'LRAP+Flywheel'!$F$47*(L33-'LRAP+Flywheel'!$G$47)+'LRAP+Flywheel'!$I$47))))), "Not in Program")</f>
        <v>4250</v>
      </c>
      <c r="U33" s="51">
        <f t="shared" si="15"/>
        <v>16189.190195145562</v>
      </c>
      <c r="V33" s="51"/>
      <c r="W33" s="51"/>
    </row>
    <row r="34" spans="1:23" outlineLevel="1" x14ac:dyDescent="0.7">
      <c r="A34" s="2">
        <v>8</v>
      </c>
      <c r="B34" s="2">
        <f t="shared" si="5"/>
        <v>2033</v>
      </c>
      <c r="C34" s="2" t="str">
        <f t="shared" si="16"/>
        <v>Yes</v>
      </c>
      <c r="D34" s="51">
        <f t="shared" si="17"/>
        <v>100000</v>
      </c>
      <c r="E34" s="51">
        <f t="shared" si="18"/>
        <v>0</v>
      </c>
      <c r="F34" s="60">
        <f t="shared" si="6"/>
        <v>-12000</v>
      </c>
      <c r="G34" s="51">
        <f t="shared" si="7"/>
        <v>100000</v>
      </c>
      <c r="H34" s="51">
        <f t="shared" si="19"/>
        <v>0</v>
      </c>
      <c r="I34" s="60">
        <f t="shared" si="8"/>
        <v>0</v>
      </c>
      <c r="J34" s="51">
        <f t="shared" si="9"/>
        <v>0</v>
      </c>
      <c r="K34" s="51">
        <f>MAX(0, 1500*(COUNTIF($C$27:$C34,"Yes")-1))</f>
        <v>10500</v>
      </c>
      <c r="L34" s="51">
        <f t="shared" si="10"/>
        <v>89500</v>
      </c>
      <c r="M34" s="60"/>
      <c r="N34" s="51"/>
      <c r="O34" s="51">
        <f t="shared" si="11"/>
        <v>20439.190195145562</v>
      </c>
      <c r="P34" s="51"/>
      <c r="Q34" s="51">
        <f t="shared" si="12"/>
        <v>0</v>
      </c>
      <c r="R34" s="51">
        <f t="shared" si="13"/>
        <v>0</v>
      </c>
      <c r="S34" s="51">
        <f t="shared" si="14"/>
        <v>20439.190195145562</v>
      </c>
      <c r="T34" s="51">
        <f>IF(C34= "Yes", MIN(S34, (IF(L34&lt;'LRAP+Flywheel'!$D$44,0,IF(L34&lt;'LRAP+Flywheel'!$D$45,'LRAP+Flywheel'!$F$45*(L34-'LRAP+Flywheel'!$G$45),IF(L34&lt;'LRAP+Flywheel'!$D$46,'LRAP+Flywheel'!$F$46*(L34-'LRAP+Flywheel'!$G$46)+'LRAP+Flywheel'!$I$46,'LRAP+Flywheel'!$F$47*(L34-'LRAP+Flywheel'!$G$47)+'LRAP+Flywheel'!$I$47))))), "Not in Program")</f>
        <v>3625</v>
      </c>
      <c r="U34" s="51">
        <f t="shared" si="15"/>
        <v>16814.190195145562</v>
      </c>
      <c r="V34" s="51"/>
      <c r="W34" s="51"/>
    </row>
    <row r="35" spans="1:23" outlineLevel="1" x14ac:dyDescent="0.7">
      <c r="A35" s="2">
        <v>9</v>
      </c>
      <c r="B35" s="2">
        <f t="shared" si="5"/>
        <v>2034</v>
      </c>
      <c r="C35" s="2" t="str">
        <f t="shared" si="16"/>
        <v>Yes</v>
      </c>
      <c r="D35" s="51">
        <f t="shared" si="17"/>
        <v>100000</v>
      </c>
      <c r="E35" s="51">
        <f t="shared" si="18"/>
        <v>0</v>
      </c>
      <c r="F35" s="60">
        <f t="shared" si="6"/>
        <v>-12000</v>
      </c>
      <c r="G35" s="51">
        <f t="shared" si="7"/>
        <v>100000</v>
      </c>
      <c r="H35" s="51">
        <f t="shared" si="19"/>
        <v>0</v>
      </c>
      <c r="I35" s="60">
        <f t="shared" si="8"/>
        <v>0</v>
      </c>
      <c r="J35" s="51">
        <f t="shared" si="9"/>
        <v>0</v>
      </c>
      <c r="K35" s="51">
        <f>MAX(0, 1500*(COUNTIF($C$27:$C35,"Yes")-1))</f>
        <v>12000</v>
      </c>
      <c r="L35" s="51">
        <f t="shared" si="10"/>
        <v>88000</v>
      </c>
      <c r="M35" s="60"/>
      <c r="N35" s="51"/>
      <c r="O35" s="51">
        <f t="shared" si="11"/>
        <v>20439.190195145562</v>
      </c>
      <c r="P35" s="51"/>
      <c r="Q35" s="51">
        <f t="shared" si="12"/>
        <v>0</v>
      </c>
      <c r="R35" s="51">
        <f t="shared" si="13"/>
        <v>0</v>
      </c>
      <c r="S35" s="51">
        <f t="shared" si="14"/>
        <v>20439.190195145562</v>
      </c>
      <c r="T35" s="51">
        <f>IF(C35= "Yes", MIN(S35, (IF(L35&lt;'LRAP+Flywheel'!$D$44,0,IF(L35&lt;'LRAP+Flywheel'!$D$45,'LRAP+Flywheel'!$F$45*(L35-'LRAP+Flywheel'!$G$45),IF(L35&lt;'LRAP+Flywheel'!$D$46,'LRAP+Flywheel'!$F$46*(L35-'LRAP+Flywheel'!$G$46)+'LRAP+Flywheel'!$I$46,'LRAP+Flywheel'!$F$47*(L35-'LRAP+Flywheel'!$G$47)+'LRAP+Flywheel'!$I$47))))), "Not in Program")</f>
        <v>3250</v>
      </c>
      <c r="U35" s="51">
        <f t="shared" si="15"/>
        <v>17189.190195145562</v>
      </c>
      <c r="V35" s="51"/>
      <c r="W35" s="51"/>
    </row>
    <row r="36" spans="1:23" outlineLevel="1" x14ac:dyDescent="0.7">
      <c r="A36" s="2">
        <v>10</v>
      </c>
      <c r="B36" s="2">
        <f t="shared" si="5"/>
        <v>2035</v>
      </c>
      <c r="C36" s="2" t="str">
        <f t="shared" si="16"/>
        <v>Yes</v>
      </c>
      <c r="D36" s="51">
        <f t="shared" si="17"/>
        <v>100000</v>
      </c>
      <c r="E36" s="51">
        <f t="shared" si="18"/>
        <v>0</v>
      </c>
      <c r="F36" s="60">
        <f t="shared" si="6"/>
        <v>-12000</v>
      </c>
      <c r="G36" s="51">
        <f t="shared" si="7"/>
        <v>100000</v>
      </c>
      <c r="H36" s="51">
        <f t="shared" si="19"/>
        <v>0</v>
      </c>
      <c r="I36" s="60">
        <f t="shared" si="8"/>
        <v>0</v>
      </c>
      <c r="J36" s="51">
        <f t="shared" si="9"/>
        <v>0</v>
      </c>
      <c r="K36" s="51">
        <f>MAX(0, 1500*(COUNTIF($C$27:$C36,"Yes")-1))</f>
        <v>13500</v>
      </c>
      <c r="L36" s="51">
        <f t="shared" si="10"/>
        <v>86500</v>
      </c>
      <c r="M36" s="60"/>
      <c r="N36" s="51"/>
      <c r="O36" s="51">
        <f t="shared" si="11"/>
        <v>20439.190195145562</v>
      </c>
      <c r="P36" s="51"/>
      <c r="Q36" s="51">
        <f t="shared" si="12"/>
        <v>0</v>
      </c>
      <c r="R36" s="51">
        <f t="shared" si="13"/>
        <v>0</v>
      </c>
      <c r="S36" s="51">
        <f t="shared" si="14"/>
        <v>20439.190195145562</v>
      </c>
      <c r="T36" s="51">
        <f>IF(C36= "Yes", MIN(S36, (IF(L36&lt;'LRAP+Flywheel'!$D$44,0,IF(L36&lt;'LRAP+Flywheel'!$D$45,'LRAP+Flywheel'!$F$45*(L36-'LRAP+Flywheel'!$G$45),IF(L36&lt;'LRAP+Flywheel'!$D$46,'LRAP+Flywheel'!$F$46*(L36-'LRAP+Flywheel'!$G$46)+'LRAP+Flywheel'!$I$46,'LRAP+Flywheel'!$F$47*(L36-'LRAP+Flywheel'!$G$47)+'LRAP+Flywheel'!$I$47))))), "Not in Program")</f>
        <v>2875</v>
      </c>
      <c r="U36" s="51">
        <f t="shared" si="15"/>
        <v>17564.190195145562</v>
      </c>
      <c r="V36" s="51"/>
      <c r="W36" s="51"/>
    </row>
    <row r="37" spans="1:23" outlineLevel="1" x14ac:dyDescent="0.7">
      <c r="A37" s="2">
        <v>11</v>
      </c>
      <c r="B37" s="2">
        <f t="shared" si="5"/>
        <v>2036</v>
      </c>
      <c r="C37" s="2" t="str">
        <f t="shared" si="16"/>
        <v>Yes</v>
      </c>
      <c r="D37" s="51">
        <f t="shared" si="17"/>
        <v>100000</v>
      </c>
      <c r="E37" s="51">
        <f t="shared" si="18"/>
        <v>0</v>
      </c>
      <c r="F37" s="60">
        <f t="shared" si="6"/>
        <v>-12000</v>
      </c>
      <c r="G37" s="51">
        <f t="shared" si="7"/>
        <v>100000</v>
      </c>
      <c r="H37" s="51">
        <f t="shared" si="19"/>
        <v>0</v>
      </c>
      <c r="I37" s="60">
        <f t="shared" si="8"/>
        <v>0</v>
      </c>
      <c r="J37" s="51">
        <f t="shared" si="9"/>
        <v>0</v>
      </c>
      <c r="K37" s="51">
        <f>MAX(0, 1500*(COUNTIF($C$27:$C37,"Yes")-1))</f>
        <v>15000</v>
      </c>
      <c r="L37" s="51">
        <f t="shared" si="10"/>
        <v>85000</v>
      </c>
      <c r="M37" s="60"/>
      <c r="N37" s="51"/>
      <c r="O37" s="51">
        <f t="shared" si="11"/>
        <v>20439.190195145562</v>
      </c>
      <c r="P37" s="51"/>
      <c r="Q37" s="51">
        <f t="shared" si="12"/>
        <v>0</v>
      </c>
      <c r="R37" s="51">
        <f t="shared" si="13"/>
        <v>0</v>
      </c>
      <c r="S37" s="51">
        <f t="shared" si="14"/>
        <v>20439.190195145562</v>
      </c>
      <c r="T37" s="51">
        <f>IF(C37= "Yes", MIN(S37, (IF(L37&lt;'LRAP+Flywheel'!$D$44,0,IF(L37&lt;'LRAP+Flywheel'!$D$45,'LRAP+Flywheel'!$F$45*(L37-'LRAP+Flywheel'!$G$45),IF(L37&lt;'LRAP+Flywheel'!$D$46,'LRAP+Flywheel'!$F$46*(L37-'LRAP+Flywheel'!$G$46)+'LRAP+Flywheel'!$I$46,'LRAP+Flywheel'!$F$47*(L37-'LRAP+Flywheel'!$G$47)+'LRAP+Flywheel'!$I$47))))), "Not in Program")</f>
        <v>2500</v>
      </c>
      <c r="U37" s="51">
        <f t="shared" si="15"/>
        <v>17939.190195145562</v>
      </c>
      <c r="V37" s="51"/>
      <c r="W37" s="51"/>
    </row>
    <row r="38" spans="1:23" outlineLevel="1" x14ac:dyDescent="0.7">
      <c r="A38" s="2">
        <v>12</v>
      </c>
      <c r="B38" s="2">
        <f t="shared" si="5"/>
        <v>2037</v>
      </c>
      <c r="C38" s="2" t="str">
        <f t="shared" si="16"/>
        <v>Yes</v>
      </c>
      <c r="D38" s="51">
        <f t="shared" si="17"/>
        <v>100000</v>
      </c>
      <c r="E38" s="51">
        <f t="shared" si="18"/>
        <v>0</v>
      </c>
      <c r="F38" s="60">
        <f t="shared" si="6"/>
        <v>-12000</v>
      </c>
      <c r="G38" s="51">
        <f t="shared" si="7"/>
        <v>100000</v>
      </c>
      <c r="H38" s="51">
        <f t="shared" si="19"/>
        <v>0</v>
      </c>
      <c r="I38" s="60">
        <f t="shared" si="8"/>
        <v>0</v>
      </c>
      <c r="J38" s="51">
        <f t="shared" si="9"/>
        <v>0</v>
      </c>
      <c r="K38" s="51">
        <f>MAX(0, 1500*(COUNTIF($C$27:$C38,"Yes")-1))</f>
        <v>16500</v>
      </c>
      <c r="L38" s="51">
        <f t="shared" si="10"/>
        <v>83500</v>
      </c>
      <c r="M38" s="60"/>
      <c r="N38" s="51"/>
      <c r="O38" s="51">
        <f t="shared" si="11"/>
        <v>20439.190195145562</v>
      </c>
      <c r="P38" s="51"/>
      <c r="Q38" s="51">
        <f t="shared" si="12"/>
        <v>0</v>
      </c>
      <c r="R38" s="51">
        <f t="shared" si="13"/>
        <v>0</v>
      </c>
      <c r="S38" s="51">
        <f t="shared" si="14"/>
        <v>20439.190195145562</v>
      </c>
      <c r="T38" s="51">
        <f>IF(C38= "Yes", MIN(S38, (IF(L38&lt;'LRAP+Flywheel'!$D$44,0,IF(L38&lt;'LRAP+Flywheel'!$D$45,'LRAP+Flywheel'!$F$45*(L38-'LRAP+Flywheel'!$G$45),IF(L38&lt;'LRAP+Flywheel'!$D$46,'LRAP+Flywheel'!$F$46*(L38-'LRAP+Flywheel'!$G$46)+'LRAP+Flywheel'!$I$46,'LRAP+Flywheel'!$F$47*(L38-'LRAP+Flywheel'!$G$47)+'LRAP+Flywheel'!$I$47))))), "Not in Program")</f>
        <v>2125</v>
      </c>
      <c r="U38" s="51">
        <f t="shared" si="15"/>
        <v>18314.190195145562</v>
      </c>
      <c r="V38" s="51"/>
      <c r="W38" s="51"/>
    </row>
    <row r="39" spans="1:23" outlineLevel="1" x14ac:dyDescent="0.7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</row>
    <row r="40" spans="1:23" outlineLevel="1" x14ac:dyDescent="0.7">
      <c r="D40" s="51"/>
      <c r="E40" s="51"/>
      <c r="F40" s="60"/>
      <c r="G40" s="51"/>
      <c r="H40" s="51"/>
      <c r="I40" s="60"/>
      <c r="J40" s="51"/>
      <c r="K40" s="51"/>
      <c r="L40" s="51"/>
      <c r="M40" s="60"/>
      <c r="N40" s="51"/>
      <c r="O40" s="51"/>
      <c r="P40" s="51"/>
      <c r="Q40" s="51"/>
      <c r="R40" s="51"/>
      <c r="S40" s="51"/>
      <c r="T40" s="51"/>
      <c r="U40" s="51"/>
      <c r="V40" s="51"/>
      <c r="W40" s="51"/>
    </row>
    <row r="41" spans="1:23" outlineLevel="1" x14ac:dyDescent="0.7">
      <c r="D41" s="33" t="s">
        <v>61</v>
      </c>
      <c r="E41" s="61"/>
      <c r="F41" s="61"/>
      <c r="G41" s="61"/>
      <c r="H41" s="61"/>
      <c r="I41" s="61"/>
      <c r="J41" s="61"/>
      <c r="K41" s="61"/>
      <c r="L41" s="61"/>
    </row>
    <row r="42" spans="1:23" outlineLevel="1" x14ac:dyDescent="0.7">
      <c r="D42" s="23" t="s">
        <v>62</v>
      </c>
      <c r="E42" s="62" t="s">
        <v>63</v>
      </c>
      <c r="F42" s="63" t="s">
        <v>64</v>
      </c>
      <c r="G42" s="64"/>
      <c r="H42" s="65" t="s">
        <v>65</v>
      </c>
    </row>
    <row r="43" spans="1:23" outlineLevel="1" x14ac:dyDescent="0.7">
      <c r="D43" s="66" t="s">
        <v>66</v>
      </c>
      <c r="E43" s="67"/>
      <c r="H43" s="68"/>
      <c r="I43" s="67" t="s">
        <v>67</v>
      </c>
    </row>
    <row r="44" spans="1:23" outlineLevel="1" x14ac:dyDescent="0.7">
      <c r="D44" s="69">
        <v>75000</v>
      </c>
      <c r="E44" s="70">
        <v>75000</v>
      </c>
      <c r="F44" s="71">
        <v>0</v>
      </c>
      <c r="G44" s="51"/>
      <c r="H44" s="68"/>
      <c r="I44" s="68"/>
    </row>
    <row r="45" spans="1:23" outlineLevel="1" x14ac:dyDescent="0.7">
      <c r="D45" s="69">
        <v>90000</v>
      </c>
      <c r="E45" s="70">
        <v>90000</v>
      </c>
      <c r="F45" s="71">
        <v>0.25</v>
      </c>
      <c r="G45" s="51">
        <v>75000</v>
      </c>
      <c r="H45" s="70">
        <v>75000</v>
      </c>
      <c r="I45" s="70"/>
    </row>
    <row r="46" spans="1:23" outlineLevel="1" x14ac:dyDescent="0.7">
      <c r="D46" s="69">
        <v>105000</v>
      </c>
      <c r="E46" s="70">
        <v>105000</v>
      </c>
      <c r="F46" s="71">
        <v>0.5</v>
      </c>
      <c r="G46" s="51">
        <v>90000</v>
      </c>
      <c r="H46" s="70">
        <v>90000</v>
      </c>
      <c r="I46" s="70">
        <v>3750</v>
      </c>
    </row>
    <row r="47" spans="1:23" outlineLevel="1" x14ac:dyDescent="0.7">
      <c r="D47" s="72" t="s">
        <v>68</v>
      </c>
      <c r="E47" s="73"/>
      <c r="F47" s="74">
        <v>0.75</v>
      </c>
      <c r="G47" s="75">
        <v>105000</v>
      </c>
      <c r="H47" s="75">
        <v>105000</v>
      </c>
      <c r="I47" s="76">
        <v>11250</v>
      </c>
    </row>
    <row r="48" spans="1:23" outlineLevel="1" x14ac:dyDescent="0.7"/>
    <row r="49" spans="4:18" outlineLevel="1" x14ac:dyDescent="0.7">
      <c r="D49" s="52"/>
    </row>
    <row r="50" spans="4:18" outlineLevel="1" x14ac:dyDescent="0.7">
      <c r="D50" s="82"/>
      <c r="E50" s="106"/>
      <c r="F50" s="106"/>
      <c r="G50" s="106"/>
      <c r="H50" s="106"/>
      <c r="I50" s="106"/>
      <c r="J50" s="106"/>
      <c r="K50" s="106"/>
      <c r="L50" s="106"/>
      <c r="M50" s="106"/>
      <c r="N50" s="106"/>
    </row>
    <row r="51" spans="4:18" outlineLevel="1" x14ac:dyDescent="0.7">
      <c r="D51" s="82"/>
      <c r="E51" s="82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</row>
    <row r="52" spans="4:18" outlineLevel="1" x14ac:dyDescent="0.7">
      <c r="D52" s="84"/>
      <c r="E52" s="85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</row>
    <row r="53" spans="4:18" outlineLevel="1" x14ac:dyDescent="0.7">
      <c r="D53" s="84"/>
      <c r="E53" s="85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</row>
    <row r="54" spans="4:18" outlineLevel="1" x14ac:dyDescent="0.7">
      <c r="D54" s="84"/>
      <c r="E54" s="85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</row>
    <row r="55" spans="4:18" outlineLevel="1" x14ac:dyDescent="0.7">
      <c r="D55" s="84"/>
      <c r="E55" s="85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</row>
    <row r="56" spans="4:18" outlineLevel="1" x14ac:dyDescent="0.7">
      <c r="D56" s="84"/>
      <c r="E56" s="85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</row>
    <row r="57" spans="4:18" outlineLevel="1" x14ac:dyDescent="0.7">
      <c r="D57" s="84"/>
      <c r="E57" s="85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</row>
    <row r="58" spans="4:18" outlineLevel="1" x14ac:dyDescent="0.7">
      <c r="D58" s="84"/>
      <c r="E58" s="85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</row>
    <row r="59" spans="4:18" outlineLevel="1" x14ac:dyDescent="0.7">
      <c r="D59" s="84"/>
      <c r="E59" s="85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</row>
    <row r="60" spans="4:18" outlineLevel="1" x14ac:dyDescent="0.7">
      <c r="D60" s="107"/>
      <c r="E60" s="107"/>
    </row>
    <row r="61" spans="4:18" outlineLevel="1" x14ac:dyDescent="0.7"/>
    <row r="62" spans="4:18" outlineLevel="1" x14ac:dyDescent="0.7">
      <c r="N62" s="48"/>
      <c r="O62" s="48"/>
    </row>
    <row r="63" spans="4:18" outlineLevel="1" x14ac:dyDescent="0.7">
      <c r="D63" s="52" t="s">
        <v>71</v>
      </c>
      <c r="N63" s="100"/>
      <c r="O63" s="48"/>
    </row>
    <row r="64" spans="4:18" outlineLevel="1" x14ac:dyDescent="0.7">
      <c r="D64" s="86" t="s">
        <v>72</v>
      </c>
      <c r="E64" s="86" t="s">
        <v>73</v>
      </c>
      <c r="F64" s="86" t="s">
        <v>74</v>
      </c>
      <c r="G64" s="86" t="s">
        <v>33</v>
      </c>
      <c r="H64" s="86" t="s">
        <v>75</v>
      </c>
      <c r="N64" s="48"/>
      <c r="O64" s="48"/>
    </row>
    <row r="65" spans="4:15" outlineLevel="1" x14ac:dyDescent="0.7">
      <c r="D65" s="86">
        <f t="shared" ref="D65:D74" si="20">SUM(B27)</f>
        <v>2026</v>
      </c>
      <c r="E65" s="99">
        <f>$E$5/17000/100</f>
        <v>0.1</v>
      </c>
      <c r="F65" s="87">
        <f>$B$9*E65</f>
        <v>10000</v>
      </c>
      <c r="G65" s="87">
        <f>SUM(F65+Q27)</f>
        <v>10000</v>
      </c>
      <c r="H65" s="87">
        <f>SUM(J6)</f>
        <v>11689.190195145562</v>
      </c>
      <c r="N65" s="101"/>
      <c r="O65" s="102"/>
    </row>
    <row r="66" spans="4:15" outlineLevel="1" x14ac:dyDescent="0.7">
      <c r="D66" s="86">
        <f t="shared" si="20"/>
        <v>2027</v>
      </c>
      <c r="E66" s="99">
        <f t="shared" ref="E66:E76" si="21">$E$5/17000/100</f>
        <v>0.1</v>
      </c>
      <c r="F66" s="87">
        <f t="shared" ref="F66:F76" si="22">$B$9*E66</f>
        <v>10000</v>
      </c>
      <c r="G66" s="87">
        <f>SUM(F66+Q28)</f>
        <v>10000</v>
      </c>
      <c r="H66" s="87">
        <f t="shared" ref="H66:H76" si="23">SUM(J7)</f>
        <v>12439.190195145562</v>
      </c>
      <c r="N66" s="101"/>
      <c r="O66" s="102"/>
    </row>
    <row r="67" spans="4:15" outlineLevel="1" x14ac:dyDescent="0.7">
      <c r="D67" s="86">
        <f t="shared" si="20"/>
        <v>2028</v>
      </c>
      <c r="E67" s="99">
        <f t="shared" si="21"/>
        <v>0.1</v>
      </c>
      <c r="F67" s="87">
        <f t="shared" si="22"/>
        <v>10000</v>
      </c>
      <c r="G67" s="87">
        <f t="shared" ref="G67:G76" si="24">SUM(F67+Q29)</f>
        <v>10000</v>
      </c>
      <c r="H67" s="87">
        <f t="shared" si="23"/>
        <v>13189.190195145562</v>
      </c>
      <c r="N67" s="101"/>
      <c r="O67" s="102"/>
    </row>
    <row r="68" spans="4:15" outlineLevel="1" x14ac:dyDescent="0.7">
      <c r="D68" s="86">
        <f t="shared" si="20"/>
        <v>2029</v>
      </c>
      <c r="E68" s="99">
        <f t="shared" si="21"/>
        <v>0.1</v>
      </c>
      <c r="F68" s="87">
        <f t="shared" si="22"/>
        <v>10000</v>
      </c>
      <c r="G68" s="87">
        <f t="shared" si="24"/>
        <v>10000</v>
      </c>
      <c r="H68" s="87">
        <f t="shared" si="23"/>
        <v>13939.190195145562</v>
      </c>
      <c r="N68" s="101"/>
      <c r="O68" s="102"/>
    </row>
    <row r="69" spans="4:15" outlineLevel="1" x14ac:dyDescent="0.7">
      <c r="D69" s="86">
        <f t="shared" si="20"/>
        <v>2030</v>
      </c>
      <c r="E69" s="99">
        <f t="shared" si="21"/>
        <v>0.1</v>
      </c>
      <c r="F69" s="87">
        <f t="shared" si="22"/>
        <v>10000</v>
      </c>
      <c r="G69" s="87">
        <f t="shared" si="24"/>
        <v>10000</v>
      </c>
      <c r="H69" s="87">
        <f t="shared" si="23"/>
        <v>14689.190195145562</v>
      </c>
      <c r="N69" s="101"/>
      <c r="O69" s="102"/>
    </row>
    <row r="70" spans="4:15" outlineLevel="1" x14ac:dyDescent="0.7">
      <c r="D70" s="86">
        <f t="shared" si="20"/>
        <v>2031</v>
      </c>
      <c r="E70" s="99">
        <f t="shared" si="21"/>
        <v>0.1</v>
      </c>
      <c r="F70" s="87">
        <f t="shared" si="22"/>
        <v>10000</v>
      </c>
      <c r="G70" s="87">
        <f t="shared" si="24"/>
        <v>10000</v>
      </c>
      <c r="H70" s="87">
        <f t="shared" si="23"/>
        <v>15439.190195145562</v>
      </c>
      <c r="N70" s="101"/>
      <c r="O70" s="102"/>
    </row>
    <row r="71" spans="4:15" outlineLevel="1" x14ac:dyDescent="0.7">
      <c r="D71" s="86">
        <f t="shared" si="20"/>
        <v>2032</v>
      </c>
      <c r="E71" s="99">
        <f t="shared" si="21"/>
        <v>0.1</v>
      </c>
      <c r="F71" s="87">
        <f t="shared" si="22"/>
        <v>10000</v>
      </c>
      <c r="G71" s="87">
        <f t="shared" si="24"/>
        <v>10000</v>
      </c>
      <c r="H71" s="87">
        <f t="shared" si="23"/>
        <v>16189.190195145562</v>
      </c>
      <c r="N71" s="101"/>
      <c r="O71" s="102"/>
    </row>
    <row r="72" spans="4:15" outlineLevel="1" x14ac:dyDescent="0.7">
      <c r="D72" s="86">
        <f t="shared" si="20"/>
        <v>2033</v>
      </c>
      <c r="E72" s="99">
        <f t="shared" si="21"/>
        <v>0.1</v>
      </c>
      <c r="F72" s="87">
        <f t="shared" si="22"/>
        <v>10000</v>
      </c>
      <c r="G72" s="87">
        <f t="shared" si="24"/>
        <v>10000</v>
      </c>
      <c r="H72" s="87">
        <f t="shared" si="23"/>
        <v>16814.190195145562</v>
      </c>
      <c r="N72" s="101"/>
      <c r="O72" s="102"/>
    </row>
    <row r="73" spans="4:15" outlineLevel="1" x14ac:dyDescent="0.7">
      <c r="D73" s="86">
        <f t="shared" si="20"/>
        <v>2034</v>
      </c>
      <c r="E73" s="99">
        <f t="shared" si="21"/>
        <v>0.1</v>
      </c>
      <c r="F73" s="87">
        <f t="shared" si="22"/>
        <v>10000</v>
      </c>
      <c r="G73" s="87">
        <f t="shared" si="24"/>
        <v>10000</v>
      </c>
      <c r="H73" s="87">
        <f t="shared" si="23"/>
        <v>17189.190195145562</v>
      </c>
      <c r="N73" s="101"/>
      <c r="O73" s="102"/>
    </row>
    <row r="74" spans="4:15" outlineLevel="1" x14ac:dyDescent="0.7">
      <c r="D74" s="86">
        <f t="shared" si="20"/>
        <v>2035</v>
      </c>
      <c r="E74" s="99">
        <f t="shared" si="21"/>
        <v>0.1</v>
      </c>
      <c r="F74" s="87">
        <f t="shared" si="22"/>
        <v>10000</v>
      </c>
      <c r="G74" s="87">
        <f t="shared" si="24"/>
        <v>10000</v>
      </c>
      <c r="H74" s="87">
        <f t="shared" si="23"/>
        <v>17564.190195145562</v>
      </c>
      <c r="N74" s="101"/>
      <c r="O74" s="102"/>
    </row>
    <row r="75" spans="4:15" outlineLevel="1" x14ac:dyDescent="0.7">
      <c r="D75" s="88">
        <v>2033</v>
      </c>
      <c r="E75" s="99">
        <f t="shared" si="21"/>
        <v>0.1</v>
      </c>
      <c r="F75" s="87">
        <f t="shared" si="22"/>
        <v>10000</v>
      </c>
      <c r="G75" s="87">
        <f t="shared" si="24"/>
        <v>10000</v>
      </c>
      <c r="H75" s="87">
        <f t="shared" si="23"/>
        <v>17939.190195145562</v>
      </c>
      <c r="N75" s="48"/>
      <c r="O75" s="48"/>
    </row>
    <row r="76" spans="4:15" outlineLevel="1" x14ac:dyDescent="0.7">
      <c r="D76" s="88">
        <v>2034</v>
      </c>
      <c r="E76" s="99">
        <f t="shared" si="21"/>
        <v>0.1</v>
      </c>
      <c r="F76" s="87">
        <f t="shared" si="22"/>
        <v>10000</v>
      </c>
      <c r="G76" s="87">
        <f t="shared" si="24"/>
        <v>10000</v>
      </c>
      <c r="H76" s="87">
        <f t="shared" si="23"/>
        <v>18314.190195145562</v>
      </c>
      <c r="N76" s="48"/>
      <c r="O76" s="48"/>
    </row>
    <row r="77" spans="4:15" outlineLevel="1" x14ac:dyDescent="0.7">
      <c r="N77" s="48"/>
      <c r="O77" s="48"/>
    </row>
  </sheetData>
  <mergeCells count="5">
    <mergeCell ref="I4:J4"/>
    <mergeCell ref="K4:L4"/>
    <mergeCell ref="G18:H18"/>
    <mergeCell ref="E50:N50"/>
    <mergeCell ref="D60:E6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2581-C1B1-4A27-AC61-09C213239089}">
  <dimension ref="A1:W60"/>
  <sheetViews>
    <sheetView zoomScale="66" zoomScaleNormal="66" workbookViewId="0"/>
  </sheetViews>
  <sheetFormatPr defaultColWidth="9.15625" defaultRowHeight="18.3" outlineLevelRow="1" x14ac:dyDescent="0.7"/>
  <cols>
    <col min="1" max="1" width="42.15625" style="2" customWidth="1"/>
    <col min="2" max="2" width="19.26171875" style="2" customWidth="1"/>
    <col min="3" max="3" width="11" style="2" customWidth="1"/>
    <col min="4" max="4" width="45.20703125" style="2" customWidth="1"/>
    <col min="5" max="5" width="16" style="2" customWidth="1"/>
    <col min="6" max="6" width="13.68359375" style="2" customWidth="1"/>
    <col min="7" max="7" width="12.578125" style="2" customWidth="1"/>
    <col min="8" max="8" width="12.41796875" style="2" customWidth="1"/>
    <col min="9" max="12" width="14.68359375" style="2" customWidth="1"/>
    <col min="13" max="13" width="11.68359375" style="2" customWidth="1"/>
    <col min="14" max="14" width="15.68359375" style="2" customWidth="1"/>
    <col min="15" max="15" width="14" style="2" customWidth="1"/>
    <col min="16" max="16" width="10.578125" style="2" customWidth="1"/>
    <col min="17" max="17" width="11.68359375" style="2" customWidth="1"/>
    <col min="18" max="18" width="11.41796875" style="2" customWidth="1"/>
    <col min="19" max="19" width="11.578125" style="2" customWidth="1"/>
    <col min="20" max="20" width="10.578125" style="2" customWidth="1"/>
    <col min="21" max="21" width="10.68359375" style="2" customWidth="1"/>
    <col min="22" max="22" width="13.15625" style="2" customWidth="1"/>
    <col min="23" max="23" width="10.26171875" style="2" customWidth="1"/>
    <col min="24" max="16384" width="9.15625" style="2"/>
  </cols>
  <sheetData>
    <row r="1" spans="1:15" x14ac:dyDescent="0.7">
      <c r="A1" s="1" t="s">
        <v>0</v>
      </c>
      <c r="B1" s="1"/>
      <c r="C1" s="1"/>
      <c r="D1" s="1"/>
      <c r="E1" s="1"/>
    </row>
    <row r="3" spans="1:15" x14ac:dyDescent="0.7">
      <c r="A3" s="3" t="s">
        <v>1</v>
      </c>
      <c r="B3" s="4"/>
      <c r="C3" s="4"/>
      <c r="D3" s="4"/>
      <c r="E3" s="5"/>
      <c r="G3" s="6" t="s">
        <v>69</v>
      </c>
      <c r="H3" s="7"/>
      <c r="I3" s="7"/>
      <c r="J3" s="7"/>
      <c r="K3" s="7"/>
      <c r="L3" s="7"/>
    </row>
    <row r="4" spans="1:15" ht="54.9" x14ac:dyDescent="0.7">
      <c r="A4" s="8"/>
      <c r="B4" s="9"/>
      <c r="C4" s="9"/>
      <c r="D4" s="9"/>
      <c r="E4" s="10"/>
      <c r="G4" s="11" t="str">
        <f>A26</f>
        <v>Year(s) Since Graduation</v>
      </c>
      <c r="H4" s="12" t="str">
        <f>B26</f>
        <v>Calendar Year</v>
      </c>
      <c r="I4" s="104" t="s">
        <v>3</v>
      </c>
      <c r="J4" s="105"/>
      <c r="K4" s="104" t="s">
        <v>76</v>
      </c>
      <c r="L4" s="105"/>
      <c r="N4" s="108"/>
      <c r="O4" s="108"/>
    </row>
    <row r="5" spans="1:15" x14ac:dyDescent="0.7">
      <c r="A5" s="15" t="s">
        <v>5</v>
      </c>
      <c r="B5" s="16">
        <v>2025</v>
      </c>
      <c r="C5" s="17"/>
      <c r="D5" s="17" t="s">
        <v>6</v>
      </c>
      <c r="E5" s="18">
        <v>170000</v>
      </c>
      <c r="G5" s="19"/>
      <c r="H5" s="20"/>
      <c r="I5" s="21" t="s">
        <v>7</v>
      </c>
      <c r="J5" s="22" t="s">
        <v>8</v>
      </c>
      <c r="K5" s="21" t="s">
        <v>7</v>
      </c>
      <c r="L5" s="22" t="s">
        <v>8</v>
      </c>
      <c r="N5" s="89"/>
      <c r="O5" s="89"/>
    </row>
    <row r="6" spans="1:15" x14ac:dyDescent="0.7">
      <c r="A6" s="15" t="s">
        <v>10</v>
      </c>
      <c r="B6" s="16">
        <v>2025</v>
      </c>
      <c r="C6" s="17"/>
      <c r="D6" s="17" t="s">
        <v>11</v>
      </c>
      <c r="E6" s="16">
        <v>10</v>
      </c>
      <c r="G6" s="19">
        <f t="shared" ref="G6:H15" si="0">A27</f>
        <v>1</v>
      </c>
      <c r="H6" s="25">
        <f t="shared" si="0"/>
        <v>2026</v>
      </c>
      <c r="I6" s="26">
        <f>T27</f>
        <v>8750</v>
      </c>
      <c r="J6" s="27">
        <f t="shared" ref="J6:J15" si="1">U27</f>
        <v>14413.787352885487</v>
      </c>
      <c r="K6" s="26">
        <f t="shared" ref="K6:K15" si="2">SUM(R27-L6)</f>
        <v>0</v>
      </c>
      <c r="L6" s="90">
        <f>IF(R27&lt;0,"$0",IF(R27&lt;J6,R27,J6))</f>
        <v>7603.4269000000004</v>
      </c>
      <c r="N6" s="51"/>
      <c r="O6" s="51"/>
    </row>
    <row r="7" spans="1:15" x14ac:dyDescent="0.7">
      <c r="A7" s="15" t="s">
        <v>13</v>
      </c>
      <c r="B7" s="16">
        <v>2037</v>
      </c>
      <c r="C7" s="17"/>
      <c r="D7" s="17" t="s">
        <v>14</v>
      </c>
      <c r="E7" s="28">
        <v>6.5000000000000002E-2</v>
      </c>
      <c r="G7" s="19">
        <f t="shared" si="0"/>
        <v>2</v>
      </c>
      <c r="H7" s="25">
        <f t="shared" si="0"/>
        <v>2027</v>
      </c>
      <c r="I7" s="26">
        <f t="shared" ref="I7:I15" si="3">T28</f>
        <v>8000</v>
      </c>
      <c r="J7" s="27">
        <f t="shared" si="1"/>
        <v>15163.787352885487</v>
      </c>
      <c r="K7" s="26">
        <f t="shared" si="2"/>
        <v>0</v>
      </c>
      <c r="L7" s="90">
        <f t="shared" ref="L7:L15" si="4">IF(R28&lt;0,"$0",IF(R28&lt;J7,R28,J7))</f>
        <v>7531.5297070000006</v>
      </c>
      <c r="N7" s="51"/>
      <c r="O7" s="51"/>
    </row>
    <row r="8" spans="1:15" x14ac:dyDescent="0.7">
      <c r="A8" s="15"/>
      <c r="B8" s="17"/>
      <c r="C8" s="17"/>
      <c r="D8" s="17" t="s">
        <v>16</v>
      </c>
      <c r="E8" s="31">
        <f>((E7/12)+((E7/12)/(((1+(E7/12))^(12*E6))-1)))*E5</f>
        <v>1930.3156127404573</v>
      </c>
      <c r="G8" s="19">
        <f t="shared" si="0"/>
        <v>3</v>
      </c>
      <c r="H8" s="25">
        <f t="shared" si="0"/>
        <v>2028</v>
      </c>
      <c r="I8" s="26">
        <f t="shared" si="3"/>
        <v>7250</v>
      </c>
      <c r="J8" s="27">
        <f t="shared" si="1"/>
        <v>15913.787352885487</v>
      </c>
      <c r="K8" s="26">
        <f t="shared" si="2"/>
        <v>0</v>
      </c>
      <c r="L8" s="90">
        <f t="shared" si="4"/>
        <v>7457.4755982099996</v>
      </c>
      <c r="N8" s="51"/>
      <c r="O8" s="51"/>
    </row>
    <row r="9" spans="1:15" x14ac:dyDescent="0.7">
      <c r="A9" s="15" t="s">
        <v>17</v>
      </c>
      <c r="B9" s="18">
        <v>100000</v>
      </c>
      <c r="C9" s="17"/>
      <c r="D9" s="17"/>
      <c r="E9" s="32"/>
      <c r="G9" s="19">
        <f t="shared" si="0"/>
        <v>4</v>
      </c>
      <c r="H9" s="25">
        <f t="shared" si="0"/>
        <v>2029</v>
      </c>
      <c r="I9" s="26">
        <f t="shared" si="3"/>
        <v>6500</v>
      </c>
      <c r="J9" s="27">
        <f t="shared" si="1"/>
        <v>16663.787352885487</v>
      </c>
      <c r="K9" s="26">
        <f t="shared" si="2"/>
        <v>0</v>
      </c>
      <c r="L9" s="90">
        <f t="shared" si="4"/>
        <v>7381.1998661562993</v>
      </c>
      <c r="N9" s="51"/>
      <c r="O9" s="51"/>
    </row>
    <row r="10" spans="1:15" x14ac:dyDescent="0.7">
      <c r="A10" s="15" t="s">
        <v>19</v>
      </c>
      <c r="B10" s="35">
        <v>0</v>
      </c>
      <c r="C10" s="17"/>
      <c r="D10" s="17" t="s">
        <v>20</v>
      </c>
      <c r="E10" s="18">
        <v>0</v>
      </c>
      <c r="G10" s="19">
        <f t="shared" si="0"/>
        <v>5</v>
      </c>
      <c r="H10" s="25">
        <f t="shared" si="0"/>
        <v>2030</v>
      </c>
      <c r="I10" s="26">
        <f t="shared" si="3"/>
        <v>5750</v>
      </c>
      <c r="J10" s="27">
        <f t="shared" si="1"/>
        <v>17413.787352885487</v>
      </c>
      <c r="K10" s="26">
        <f t="shared" si="2"/>
        <v>0</v>
      </c>
      <c r="L10" s="90">
        <f t="shared" si="4"/>
        <v>7302.635862140989</v>
      </c>
      <c r="N10" s="51"/>
      <c r="O10" s="51"/>
    </row>
    <row r="11" spans="1:15" x14ac:dyDescent="0.7">
      <c r="A11" s="15"/>
      <c r="B11" s="17"/>
      <c r="C11" s="17"/>
      <c r="D11" s="17" t="s">
        <v>22</v>
      </c>
      <c r="E11" s="16">
        <v>10</v>
      </c>
      <c r="G11" s="19">
        <f t="shared" si="0"/>
        <v>6</v>
      </c>
      <c r="H11" s="25">
        <f t="shared" si="0"/>
        <v>2031</v>
      </c>
      <c r="I11" s="26">
        <f t="shared" si="3"/>
        <v>5000</v>
      </c>
      <c r="J11" s="27">
        <f t="shared" si="1"/>
        <v>18163.787352885487</v>
      </c>
      <c r="K11" s="26">
        <f t="shared" si="2"/>
        <v>0</v>
      </c>
      <c r="L11" s="90">
        <f t="shared" si="4"/>
        <v>7208.2281173159226</v>
      </c>
      <c r="N11" s="51"/>
      <c r="O11" s="51"/>
    </row>
    <row r="12" spans="1:15" x14ac:dyDescent="0.7">
      <c r="A12" s="15" t="s">
        <v>24</v>
      </c>
      <c r="B12" s="38" t="s">
        <v>25</v>
      </c>
      <c r="C12" s="17"/>
      <c r="D12" s="17" t="s">
        <v>26</v>
      </c>
      <c r="E12" s="28">
        <v>6.5000000000000002E-2</v>
      </c>
      <c r="G12" s="19">
        <f t="shared" si="0"/>
        <v>7</v>
      </c>
      <c r="H12" s="25">
        <f t="shared" si="0"/>
        <v>2032</v>
      </c>
      <c r="I12" s="26">
        <f t="shared" si="3"/>
        <v>4250</v>
      </c>
      <c r="J12" s="27">
        <f t="shared" si="1"/>
        <v>18913.787352885487</v>
      </c>
      <c r="K12" s="26">
        <f t="shared" si="2"/>
        <v>0</v>
      </c>
      <c r="L12" s="90">
        <f t="shared" si="4"/>
        <v>7110.5161014219811</v>
      </c>
      <c r="N12" s="51"/>
      <c r="O12" s="51"/>
    </row>
    <row r="13" spans="1:15" x14ac:dyDescent="0.7">
      <c r="A13" s="15" t="s">
        <v>27</v>
      </c>
      <c r="B13" s="18">
        <v>0</v>
      </c>
      <c r="C13" s="17"/>
      <c r="D13" s="17" t="s">
        <v>28</v>
      </c>
      <c r="E13" s="39">
        <f>((E12/12)+((E12/12)/(((1+(E12/12))^(12*E11))-1)))*E10</f>
        <v>0</v>
      </c>
      <c r="G13" s="19">
        <f t="shared" si="0"/>
        <v>8</v>
      </c>
      <c r="H13" s="25">
        <f t="shared" si="0"/>
        <v>2033</v>
      </c>
      <c r="I13" s="26">
        <f t="shared" si="3"/>
        <v>3625</v>
      </c>
      <c r="J13" s="27">
        <f t="shared" si="1"/>
        <v>19538.787352885487</v>
      </c>
      <c r="K13" s="26">
        <f t="shared" si="2"/>
        <v>0</v>
      </c>
      <c r="L13" s="90">
        <f t="shared" si="4"/>
        <v>7023.8315844646395</v>
      </c>
      <c r="N13" s="51"/>
      <c r="O13" s="51"/>
    </row>
    <row r="14" spans="1:15" x14ac:dyDescent="0.7">
      <c r="A14" s="15" t="s">
        <v>29</v>
      </c>
      <c r="B14" s="28">
        <v>0.03</v>
      </c>
      <c r="C14" s="17"/>
      <c r="D14" s="17"/>
      <c r="E14" s="32"/>
      <c r="G14" s="19">
        <f t="shared" si="0"/>
        <v>9</v>
      </c>
      <c r="H14" s="25">
        <f t="shared" si="0"/>
        <v>2034</v>
      </c>
      <c r="I14" s="26">
        <f t="shared" si="3"/>
        <v>3250</v>
      </c>
      <c r="J14" s="27">
        <f t="shared" si="1"/>
        <v>19913.787352885487</v>
      </c>
      <c r="K14" s="26">
        <f t="shared" si="2"/>
        <v>0</v>
      </c>
      <c r="L14" s="90">
        <f t="shared" si="4"/>
        <v>6934.5465319985788</v>
      </c>
      <c r="N14" s="51"/>
      <c r="O14" s="51"/>
    </row>
    <row r="15" spans="1:15" x14ac:dyDescent="0.7">
      <c r="A15" s="15" t="s">
        <v>31</v>
      </c>
      <c r="B15" s="41">
        <v>1000</v>
      </c>
      <c r="C15" s="17"/>
      <c r="D15" s="17"/>
      <c r="E15" s="32"/>
      <c r="G15" s="91">
        <f t="shared" si="0"/>
        <v>10</v>
      </c>
      <c r="H15" s="25">
        <f t="shared" si="0"/>
        <v>2035</v>
      </c>
      <c r="I15" s="26">
        <f t="shared" si="3"/>
        <v>2875</v>
      </c>
      <c r="J15" s="27">
        <f t="shared" si="1"/>
        <v>20288.787352885487</v>
      </c>
      <c r="K15" s="26">
        <f t="shared" si="2"/>
        <v>0</v>
      </c>
      <c r="L15" s="90">
        <f t="shared" si="4"/>
        <v>6842.5829279585369</v>
      </c>
      <c r="N15" s="51"/>
      <c r="O15" s="51"/>
    </row>
    <row r="16" spans="1:15" x14ac:dyDescent="0.7">
      <c r="A16" s="42"/>
      <c r="B16" s="43"/>
      <c r="C16" s="17"/>
      <c r="D16" s="17"/>
      <c r="E16" s="32"/>
      <c r="G16" s="104" t="s">
        <v>33</v>
      </c>
      <c r="H16" s="105"/>
      <c r="I16" s="44">
        <f t="shared" ref="I16:J16" si="5">SUM(I6:I15)</f>
        <v>55250</v>
      </c>
      <c r="J16" s="45">
        <f t="shared" si="5"/>
        <v>176387.87352885489</v>
      </c>
      <c r="K16" s="44">
        <f t="shared" ref="K16:L16" si="6">SUM(K6:K15)</f>
        <v>0</v>
      </c>
      <c r="L16" s="45">
        <f t="shared" si="6"/>
        <v>72395.97319666695</v>
      </c>
      <c r="N16" s="51"/>
      <c r="O16" s="51"/>
    </row>
    <row r="17" spans="1:23" x14ac:dyDescent="0.7">
      <c r="A17" s="15" t="s">
        <v>34</v>
      </c>
      <c r="B17" s="16">
        <v>0</v>
      </c>
      <c r="C17" s="17"/>
      <c r="D17" s="17"/>
      <c r="E17" s="32"/>
    </row>
    <row r="18" spans="1:23" x14ac:dyDescent="0.7">
      <c r="A18" s="15"/>
      <c r="B18" s="17"/>
      <c r="C18" s="17"/>
      <c r="D18" s="17"/>
      <c r="E18" s="32"/>
    </row>
    <row r="19" spans="1:23" x14ac:dyDescent="0.7">
      <c r="A19" s="15" t="s">
        <v>36</v>
      </c>
      <c r="B19" s="41">
        <v>0</v>
      </c>
      <c r="C19" s="17"/>
      <c r="D19" s="17"/>
      <c r="E19" s="32"/>
    </row>
    <row r="20" spans="1:23" x14ac:dyDescent="0.7">
      <c r="A20" s="15" t="s">
        <v>37</v>
      </c>
      <c r="B20" s="28">
        <v>0.03</v>
      </c>
      <c r="C20" s="17"/>
      <c r="D20" s="17"/>
      <c r="E20" s="32"/>
      <c r="S20" s="51"/>
    </row>
    <row r="21" spans="1:23" x14ac:dyDescent="0.7">
      <c r="A21" s="15"/>
      <c r="B21" s="17"/>
      <c r="C21" s="17"/>
      <c r="D21" s="17"/>
      <c r="E21" s="32"/>
    </row>
    <row r="22" spans="1:23" x14ac:dyDescent="0.7">
      <c r="A22" s="54" t="s">
        <v>40</v>
      </c>
      <c r="B22" s="41">
        <v>0</v>
      </c>
      <c r="C22" s="55"/>
      <c r="D22" s="55"/>
      <c r="E22" s="56"/>
    </row>
    <row r="24" spans="1:23" hidden="1" outlineLevel="1" x14ac:dyDescent="0.7"/>
    <row r="25" spans="1:23" hidden="1" outlineLevel="1" x14ac:dyDescent="0.7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</row>
    <row r="26" spans="1:23" ht="73.2" hidden="1" outlineLevel="1" x14ac:dyDescent="0.7">
      <c r="A26" s="59" t="s">
        <v>43</v>
      </c>
      <c r="B26" s="59" t="s">
        <v>44</v>
      </c>
      <c r="C26" s="59" t="s">
        <v>45</v>
      </c>
      <c r="D26" s="59" t="s">
        <v>46</v>
      </c>
      <c r="E26" s="59" t="s">
        <v>47</v>
      </c>
      <c r="F26" s="59" t="s">
        <v>48</v>
      </c>
      <c r="G26" s="59" t="s">
        <v>49</v>
      </c>
      <c r="H26" s="59" t="s">
        <v>50</v>
      </c>
      <c r="I26" s="59" t="s">
        <v>51</v>
      </c>
      <c r="J26" s="59" t="s">
        <v>52</v>
      </c>
      <c r="K26" s="59" t="s">
        <v>53</v>
      </c>
      <c r="L26" s="59" t="s">
        <v>54</v>
      </c>
      <c r="M26" s="59" t="s">
        <v>77</v>
      </c>
      <c r="N26" s="59" t="s">
        <v>78</v>
      </c>
      <c r="O26" s="59" t="s">
        <v>55</v>
      </c>
      <c r="P26" s="59" t="s">
        <v>79</v>
      </c>
      <c r="Q26" s="59" t="s">
        <v>56</v>
      </c>
      <c r="R26" s="59" t="s">
        <v>80</v>
      </c>
      <c r="S26" s="59" t="s">
        <v>81</v>
      </c>
      <c r="T26" s="59" t="s">
        <v>59</v>
      </c>
      <c r="U26" s="59" t="s">
        <v>60</v>
      </c>
      <c r="V26" s="59" t="s">
        <v>82</v>
      </c>
      <c r="W26" s="59" t="s">
        <v>83</v>
      </c>
    </row>
    <row r="27" spans="1:23" hidden="1" outlineLevel="1" x14ac:dyDescent="0.7">
      <c r="A27" s="2">
        <v>1</v>
      </c>
      <c r="B27" s="2">
        <f>$B$5+A27</f>
        <v>2026</v>
      </c>
      <c r="C27" s="2" t="str">
        <f>IF(B27&lt;$B$6, "No", IF(B27&gt;$B$7, "No", "Yes"))</f>
        <v>Yes</v>
      </c>
      <c r="D27" s="51">
        <f>B9</f>
        <v>100000</v>
      </c>
      <c r="E27" s="51">
        <f>B13</f>
        <v>0</v>
      </c>
      <c r="F27" s="60">
        <f>E27-(12*$B$15)</f>
        <v>-12000</v>
      </c>
      <c r="G27" s="51">
        <f>MAX(D27, 0.5*(D27+F27))</f>
        <v>100000</v>
      </c>
      <c r="H27" s="51">
        <f>B19</f>
        <v>0</v>
      </c>
      <c r="I27" s="60">
        <f>MAX(0,$B$22-200000)</f>
        <v>0</v>
      </c>
      <c r="J27" s="51">
        <f>8000*$B$17</f>
        <v>0</v>
      </c>
      <c r="K27" s="51">
        <f>MAX(0, 1000*(COUNTIF($C$27:$C27,"Yes")-1))</f>
        <v>0</v>
      </c>
      <c r="L27" s="51">
        <f>G27+H27+I27-J27-K27</f>
        <v>100000</v>
      </c>
      <c r="M27" s="60">
        <f>150%*INDEX('LRAP+PSLF'!$G$49:$ZZ$56, MATCH((1+$B$17+IF($B$12="Yes", 1, 0)), 'LRAP+PSLF'!$D$49:$D$56, 0), MATCH('LRAP+PSLF'!B27, 'LRAP+PSLF'!$G$48:$ZZ$48, 0))</f>
        <v>23965.731000000003</v>
      </c>
      <c r="N27" s="51">
        <f>D27-M27</f>
        <v>76034.269</v>
      </c>
      <c r="O27" s="51">
        <f>$E$8*12</f>
        <v>23163.787352885487</v>
      </c>
      <c r="P27" s="51">
        <f>MIN(10%*N27, O27)</f>
        <v>7603.4269000000004</v>
      </c>
      <c r="Q27" s="51">
        <f>$E$13*12</f>
        <v>0</v>
      </c>
      <c r="R27" s="51">
        <f>P27+Q27</f>
        <v>7603.4269000000004</v>
      </c>
      <c r="S27" s="51">
        <f>O27+Q27</f>
        <v>23163.787352885487</v>
      </c>
      <c r="T27" s="51">
        <f>IF(C27= "Yes", MIN(S27, (IF(L27&lt;'LRAP+PSLF'!$D$41,0,IF(L27&lt;'LRAP+PSLF'!$D$42,'LRAP+PSLF'!$F$42*(L27-'LRAP+PSLF'!$G$42),IF(L27&lt;'LRAP+PSLF'!$D$43,'LRAP+PSLF'!$F$43*(L27-'LRAP+PSLF'!$G$43)+'LRAP+PSLF'!$I$43,'LRAP+PSLF'!$F$44*(L27-'LRAP+PSLF'!$G$44)+'LRAP+PSLF'!$I$44))))), "Not in Program")</f>
        <v>8750</v>
      </c>
      <c r="U27" s="51">
        <f>IF(C27="Yes", S27-T27, "Not in Program")</f>
        <v>14413.787352885487</v>
      </c>
      <c r="V27" s="51">
        <f>IF(C27="Yes", MIN(R27,  (IF(L27&lt;'LRAP+PSLF'!$E$41,0,IF(L27&lt;'LRAP+PSLF'!$E$42,'LRAP+PSLF'!$F$42*(L27-'LRAP+PSLF'!$H$42),IF(L27&lt;'LRAP+PSLF'!$E$43,'LRAP+PSLF'!$F$43*(L27-'LRAP+PSLF'!$H$43)+'LRAP+PSLF'!$I$43,'LRAP+PSLF'!$F$44*(L27-'LRAP+PSLF'!$H$44)+'LRAP+PSLF'!$I$44))))), "Not in Program")</f>
        <v>7603.4269000000004</v>
      </c>
      <c r="W27" s="51">
        <f t="shared" ref="W27:W36" si="7">IF(C27="Yes", R27-V27, "Not in Program")</f>
        <v>0</v>
      </c>
    </row>
    <row r="28" spans="1:23" hidden="1" outlineLevel="1" x14ac:dyDescent="0.7">
      <c r="A28" s="2">
        <v>2</v>
      </c>
      <c r="B28" s="2">
        <f t="shared" ref="B28:B36" si="8">$B$5+A28</f>
        <v>2027</v>
      </c>
      <c r="C28" s="2" t="str">
        <f>IF(B28&lt;$B$6, "No", IF(B28&gt;$B$7, "No", "Yes"))</f>
        <v>Yes</v>
      </c>
      <c r="D28" s="51">
        <f>D27*(1+$B$10)</f>
        <v>100000</v>
      </c>
      <c r="E28" s="51">
        <f>E27*(1+$B$14)</f>
        <v>0</v>
      </c>
      <c r="F28" s="60">
        <f t="shared" ref="F28:F36" si="9">E28-(12*$B$15)</f>
        <v>-12000</v>
      </c>
      <c r="G28" s="51">
        <f t="shared" ref="G28:G36" si="10">MAX(D28, 0.5*(D28+F28))</f>
        <v>100000</v>
      </c>
      <c r="H28" s="51">
        <f>H27*(1+$B$20)</f>
        <v>0</v>
      </c>
      <c r="I28" s="60">
        <f t="shared" ref="I28:I36" si="11">MAX(0,$B$22-200000)</f>
        <v>0</v>
      </c>
      <c r="J28" s="51">
        <f t="shared" ref="J28:J36" si="12">8000*$B$17</f>
        <v>0</v>
      </c>
      <c r="K28" s="51">
        <f>MAX(0, 1500*(COUNTIF($C$27:$C28,"Yes")-1))</f>
        <v>1500</v>
      </c>
      <c r="L28" s="51">
        <f t="shared" ref="L28:L36" si="13">G28+H28+I28-J28-K28</f>
        <v>98500</v>
      </c>
      <c r="M28" s="60">
        <f>150%*INDEX('LRAP+PSLF'!$G$49:$ZZ$56, MATCH((1+$B$17+IF($B$12="Yes", 1, 0)), 'LRAP+PSLF'!$D$49:$D$56, 0), MATCH('LRAP+PSLF'!B28, 'LRAP+PSLF'!$G$48:$ZZ$48, 0))</f>
        <v>24684.702930000007</v>
      </c>
      <c r="N28" s="51">
        <f t="shared" ref="N28:N36" si="14">D28-M28</f>
        <v>75315.297070000001</v>
      </c>
      <c r="O28" s="51">
        <f t="shared" ref="O28:O36" si="15">$E$8*12</f>
        <v>23163.787352885487</v>
      </c>
      <c r="P28" s="51">
        <f t="shared" ref="P28:P36" si="16">MIN(10%*N28, O28)</f>
        <v>7531.5297070000006</v>
      </c>
      <c r="Q28" s="51">
        <f t="shared" ref="Q28:Q36" si="17">$E$13*12</f>
        <v>0</v>
      </c>
      <c r="R28" s="51">
        <f t="shared" ref="R28:R36" si="18">P28+Q28</f>
        <v>7531.5297070000006</v>
      </c>
      <c r="S28" s="51">
        <f t="shared" ref="S28:S36" si="19">O28+Q28</f>
        <v>23163.787352885487</v>
      </c>
      <c r="T28" s="51">
        <f>IF(C28= "Yes", MIN(S28, (IF(L28&lt;'LRAP+PSLF'!$D$41,0,IF(L28&lt;'LRAP+PSLF'!$D$42,'LRAP+PSLF'!$F$42*(L28-'LRAP+PSLF'!$G$42),IF(L28&lt;'LRAP+PSLF'!$D$43,'LRAP+PSLF'!$F$43*(L28-'LRAP+PSLF'!$G$43)+'LRAP+PSLF'!$I$43,'LRAP+PSLF'!$F$44*(L28-'LRAP+PSLF'!$G$44)+'LRAP+PSLF'!$I$44))))), "Not in Program")</f>
        <v>8000</v>
      </c>
      <c r="U28" s="51">
        <f t="shared" ref="U28:U36" si="20">IF(C28="Yes", S28-T28, "Not in Program")</f>
        <v>15163.787352885487</v>
      </c>
      <c r="V28" s="51">
        <f>IF(C28="Yes", MIN(R28,  (IF(L28&lt;'LRAP+PSLF'!$E$41,0,IF(L28&lt;'LRAP+PSLF'!$E$42,'LRAP+PSLF'!$F$42*(L28-'LRAP+PSLF'!$H$42),IF(L28&lt;'LRAP+PSLF'!$E$43,'LRAP+PSLF'!$F$43*(L28-'LRAP+PSLF'!$H$43)+'LRAP+PSLF'!$I$43,'LRAP+PSLF'!$F$44*(L28-'LRAP+PSLF'!$H$44)+'LRAP+PSLF'!$I$44))))), "Not in Program")</f>
        <v>7531.5297070000006</v>
      </c>
      <c r="W28" s="51">
        <f t="shared" si="7"/>
        <v>0</v>
      </c>
    </row>
    <row r="29" spans="1:23" hidden="1" outlineLevel="1" x14ac:dyDescent="0.7">
      <c r="A29" s="2">
        <v>3</v>
      </c>
      <c r="B29" s="2">
        <f t="shared" si="8"/>
        <v>2028</v>
      </c>
      <c r="C29" s="2" t="str">
        <f t="shared" ref="C29:C36" si="21">IF(B29&lt;$B$6, "No", IF(B29&gt;$B$7, "No", "Yes"))</f>
        <v>Yes</v>
      </c>
      <c r="D29" s="51">
        <f t="shared" ref="D29:D36" si="22">D28*(1+$B$10)</f>
        <v>100000</v>
      </c>
      <c r="E29" s="51">
        <f t="shared" ref="E29:E36" si="23">E28*(1+$B$14)</f>
        <v>0</v>
      </c>
      <c r="F29" s="60">
        <f t="shared" si="9"/>
        <v>-12000</v>
      </c>
      <c r="G29" s="51">
        <f t="shared" si="10"/>
        <v>100000</v>
      </c>
      <c r="H29" s="51">
        <f t="shared" ref="H29:H36" si="24">H28*(1+$B$20)</f>
        <v>0</v>
      </c>
      <c r="I29" s="60">
        <f t="shared" si="11"/>
        <v>0</v>
      </c>
      <c r="J29" s="51">
        <f t="shared" si="12"/>
        <v>0</v>
      </c>
      <c r="K29" s="51">
        <f>MAX(0, 1500*(COUNTIF($C$27:$C29,"Yes")-1))</f>
        <v>3000</v>
      </c>
      <c r="L29" s="51">
        <f t="shared" si="13"/>
        <v>97000</v>
      </c>
      <c r="M29" s="60">
        <f>150%*INDEX('LRAP+PSLF'!$G$49:$ZZ$56, MATCH((1+$B$17+IF($B$12="Yes", 1, 0)), 'LRAP+PSLF'!$D$49:$D$56, 0), MATCH('LRAP+PSLF'!B29, 'LRAP+PSLF'!$G$48:$ZZ$48, 0))</f>
        <v>25425.244017900008</v>
      </c>
      <c r="N29" s="51">
        <f t="shared" si="14"/>
        <v>74574.755982099989</v>
      </c>
      <c r="O29" s="51">
        <f t="shared" si="15"/>
        <v>23163.787352885487</v>
      </c>
      <c r="P29" s="51">
        <f t="shared" si="16"/>
        <v>7457.4755982099996</v>
      </c>
      <c r="Q29" s="51">
        <f t="shared" si="17"/>
        <v>0</v>
      </c>
      <c r="R29" s="51">
        <f t="shared" si="18"/>
        <v>7457.4755982099996</v>
      </c>
      <c r="S29" s="51">
        <f t="shared" si="19"/>
        <v>23163.787352885487</v>
      </c>
      <c r="T29" s="51">
        <f>IF(C29= "Yes", MIN(S29, (IF(L29&lt;'LRAP+PSLF'!$D$41,0,IF(L29&lt;'LRAP+PSLF'!$D$42,'LRAP+PSLF'!$F$42*(L29-'LRAP+PSLF'!$G$42),IF(L29&lt;'LRAP+PSLF'!$D$43,'LRAP+PSLF'!$F$43*(L29-'LRAP+PSLF'!$G$43)+'LRAP+PSLF'!$I$43,'LRAP+PSLF'!$F$44*(L29-'LRAP+PSLF'!$G$44)+'LRAP+PSLF'!$I$44))))), "Not in Program")</f>
        <v>7250</v>
      </c>
      <c r="U29" s="51">
        <f t="shared" si="20"/>
        <v>15913.787352885487</v>
      </c>
      <c r="V29" s="51">
        <f>IF(C29="Yes", MIN(R29,  (IF(L29&lt;'LRAP+PSLF'!$E$41,0,IF(L29&lt;'LRAP+PSLF'!$E$42,'LRAP+PSLF'!$F$42*(L29-'LRAP+PSLF'!$H$42),IF(L29&lt;'LRAP+PSLF'!$E$43,'LRAP+PSLF'!$F$43*(L29-'LRAP+PSLF'!$H$43)+'LRAP+PSLF'!$I$43,'LRAP+PSLF'!$F$44*(L29-'LRAP+PSLF'!$H$44)+'LRAP+PSLF'!$I$44))))), "Not in Program")</f>
        <v>7250</v>
      </c>
      <c r="W29" s="51">
        <f t="shared" si="7"/>
        <v>207.47559820999959</v>
      </c>
    </row>
    <row r="30" spans="1:23" hidden="1" outlineLevel="1" x14ac:dyDescent="0.7">
      <c r="A30" s="2">
        <v>4</v>
      </c>
      <c r="B30" s="2">
        <f t="shared" si="8"/>
        <v>2029</v>
      </c>
      <c r="C30" s="2" t="str">
        <f t="shared" si="21"/>
        <v>Yes</v>
      </c>
      <c r="D30" s="51">
        <f t="shared" si="22"/>
        <v>100000</v>
      </c>
      <c r="E30" s="51">
        <f t="shared" si="23"/>
        <v>0</v>
      </c>
      <c r="F30" s="60">
        <f t="shared" si="9"/>
        <v>-12000</v>
      </c>
      <c r="G30" s="51">
        <f t="shared" si="10"/>
        <v>100000</v>
      </c>
      <c r="H30" s="51">
        <f t="shared" si="24"/>
        <v>0</v>
      </c>
      <c r="I30" s="60">
        <f t="shared" si="11"/>
        <v>0</v>
      </c>
      <c r="J30" s="51">
        <f t="shared" si="12"/>
        <v>0</v>
      </c>
      <c r="K30" s="51">
        <f>MAX(0, 1500*(COUNTIF($C$27:$C30,"Yes")-1))</f>
        <v>4500</v>
      </c>
      <c r="L30" s="51">
        <f t="shared" si="13"/>
        <v>95500</v>
      </c>
      <c r="M30" s="60">
        <f>150%*INDEX('LRAP+PSLF'!$G$49:$ZZ$56, MATCH((1+$B$17+IF($B$12="Yes", 1, 0)), 'LRAP+PSLF'!$D$49:$D$56, 0), MATCH('LRAP+PSLF'!B30, 'LRAP+PSLF'!$G$48:$ZZ$48, 0))</f>
        <v>26188.001338437007</v>
      </c>
      <c r="N30" s="51">
        <f t="shared" si="14"/>
        <v>73811.99866156299</v>
      </c>
      <c r="O30" s="51">
        <f t="shared" si="15"/>
        <v>23163.787352885487</v>
      </c>
      <c r="P30" s="51">
        <f t="shared" si="16"/>
        <v>7381.1998661562993</v>
      </c>
      <c r="Q30" s="51">
        <f t="shared" si="17"/>
        <v>0</v>
      </c>
      <c r="R30" s="51">
        <f t="shared" si="18"/>
        <v>7381.1998661562993</v>
      </c>
      <c r="S30" s="51">
        <f t="shared" si="19"/>
        <v>23163.787352885487</v>
      </c>
      <c r="T30" s="51">
        <f>IF(C30= "Yes", MIN(S30, (IF(L30&lt;'LRAP+PSLF'!$D$41,0,IF(L30&lt;'LRAP+PSLF'!$D$42,'LRAP+PSLF'!$F$42*(L30-'LRAP+PSLF'!$G$42),IF(L30&lt;'LRAP+PSLF'!$D$43,'LRAP+PSLF'!$F$43*(L30-'LRAP+PSLF'!$G$43)+'LRAP+PSLF'!$I$43,'LRAP+PSLF'!$F$44*(L30-'LRAP+PSLF'!$G$44)+'LRAP+PSLF'!$I$44))))), "Not in Program")</f>
        <v>6500</v>
      </c>
      <c r="U30" s="51">
        <f t="shared" si="20"/>
        <v>16663.787352885487</v>
      </c>
      <c r="V30" s="51">
        <f>IF(C30="Yes", MIN(R30,  (IF(L30&lt;'LRAP+PSLF'!$E$41,0,IF(L30&lt;'LRAP+PSLF'!$E$42,'LRAP+PSLF'!$F$42*(L30-'LRAP+PSLF'!$H$42),IF(L30&lt;'LRAP+PSLF'!$E$43,'LRAP+PSLF'!$F$43*(L30-'LRAP+PSLF'!$H$43)+'LRAP+PSLF'!$I$43,'LRAP+PSLF'!$F$44*(L30-'LRAP+PSLF'!$H$44)+'LRAP+PSLF'!$I$44))))), "Not in Program")</f>
        <v>6500</v>
      </c>
      <c r="W30" s="51">
        <f t="shared" si="7"/>
        <v>881.19986615629932</v>
      </c>
    </row>
    <row r="31" spans="1:23" hidden="1" outlineLevel="1" x14ac:dyDescent="0.7">
      <c r="A31" s="2">
        <v>5</v>
      </c>
      <c r="B31" s="2">
        <f t="shared" si="8"/>
        <v>2030</v>
      </c>
      <c r="C31" s="2" t="str">
        <f t="shared" si="21"/>
        <v>Yes</v>
      </c>
      <c r="D31" s="51">
        <f t="shared" si="22"/>
        <v>100000</v>
      </c>
      <c r="E31" s="51">
        <f t="shared" si="23"/>
        <v>0</v>
      </c>
      <c r="F31" s="60">
        <f t="shared" si="9"/>
        <v>-12000</v>
      </c>
      <c r="G31" s="51">
        <f t="shared" si="10"/>
        <v>100000</v>
      </c>
      <c r="H31" s="51">
        <f t="shared" si="24"/>
        <v>0</v>
      </c>
      <c r="I31" s="60">
        <f t="shared" si="11"/>
        <v>0</v>
      </c>
      <c r="J31" s="51">
        <f t="shared" si="12"/>
        <v>0</v>
      </c>
      <c r="K31" s="51">
        <f>MAX(0, 1500*(COUNTIF($C$27:$C31,"Yes")-1))</f>
        <v>6000</v>
      </c>
      <c r="L31" s="51">
        <f t="shared" si="13"/>
        <v>94000</v>
      </c>
      <c r="M31" s="60">
        <f>150%*INDEX('LRAP+PSLF'!$G$49:$ZZ$56, MATCH((1+$B$17+IF($B$12="Yes", 1, 0)), 'LRAP+PSLF'!$D$49:$D$56, 0), MATCH('LRAP+PSLF'!B31, 'LRAP+PSLF'!$G$48:$ZZ$48, 0))</f>
        <v>26973.641378590117</v>
      </c>
      <c r="N31" s="51">
        <f t="shared" si="14"/>
        <v>73026.35862140989</v>
      </c>
      <c r="O31" s="51">
        <f t="shared" si="15"/>
        <v>23163.787352885487</v>
      </c>
      <c r="P31" s="51">
        <f t="shared" si="16"/>
        <v>7302.635862140989</v>
      </c>
      <c r="Q31" s="51">
        <f t="shared" si="17"/>
        <v>0</v>
      </c>
      <c r="R31" s="51">
        <f t="shared" si="18"/>
        <v>7302.635862140989</v>
      </c>
      <c r="S31" s="51">
        <f t="shared" si="19"/>
        <v>23163.787352885487</v>
      </c>
      <c r="T31" s="51">
        <f>IF(C31= "Yes", MIN(S31, (IF(L31&lt;'LRAP+PSLF'!$D$41,0,IF(L31&lt;'LRAP+PSLF'!$D$42,'LRAP+PSLF'!$F$42*(L31-'LRAP+PSLF'!$G$42),IF(L31&lt;'LRAP+PSLF'!$D$43,'LRAP+PSLF'!$F$43*(L31-'LRAP+PSLF'!$G$43)+'LRAP+PSLF'!$I$43,'LRAP+PSLF'!$F$44*(L31-'LRAP+PSLF'!$G$44)+'LRAP+PSLF'!$I$44))))), "Not in Program")</f>
        <v>5750</v>
      </c>
      <c r="U31" s="51">
        <f t="shared" si="20"/>
        <v>17413.787352885487</v>
      </c>
      <c r="V31" s="51">
        <f>IF(C31="Yes", MIN(R31,  (IF(L31&lt;'LRAP+PSLF'!$E$41,0,IF(L31&lt;'LRAP+PSLF'!$E$42,'LRAP+PSLF'!$F$42*(L31-'LRAP+PSLF'!$H$42),IF(L31&lt;'LRAP+PSLF'!$E$43,'LRAP+PSLF'!$F$43*(L31-'LRAP+PSLF'!$H$43)+'LRAP+PSLF'!$I$43,'LRAP+PSLF'!$F$44*(L31-'LRAP+PSLF'!$H$44)+'LRAP+PSLF'!$I$44))))), "Not in Program")</f>
        <v>5750</v>
      </c>
      <c r="W31" s="51">
        <f t="shared" si="7"/>
        <v>1552.635862140989</v>
      </c>
    </row>
    <row r="32" spans="1:23" hidden="1" outlineLevel="1" x14ac:dyDescent="0.7">
      <c r="A32" s="2">
        <v>6</v>
      </c>
      <c r="B32" s="2">
        <f t="shared" si="8"/>
        <v>2031</v>
      </c>
      <c r="C32" s="2" t="str">
        <f t="shared" si="21"/>
        <v>Yes</v>
      </c>
      <c r="D32" s="51">
        <f t="shared" si="22"/>
        <v>100000</v>
      </c>
      <c r="E32" s="51">
        <f t="shared" si="23"/>
        <v>0</v>
      </c>
      <c r="F32" s="60">
        <f t="shared" si="9"/>
        <v>-12000</v>
      </c>
      <c r="G32" s="51">
        <f t="shared" si="10"/>
        <v>100000</v>
      </c>
      <c r="H32" s="51">
        <f t="shared" si="24"/>
        <v>0</v>
      </c>
      <c r="I32" s="60">
        <f t="shared" si="11"/>
        <v>0</v>
      </c>
      <c r="J32" s="51">
        <f t="shared" si="12"/>
        <v>0</v>
      </c>
      <c r="K32" s="51">
        <f>MAX(0, 1500*(COUNTIF($C$27:$C32,"Yes")-1))</f>
        <v>7500</v>
      </c>
      <c r="L32" s="51">
        <f t="shared" si="13"/>
        <v>92500</v>
      </c>
      <c r="M32" s="60">
        <f>SUM(M31*1.035)</f>
        <v>27917.71882684077</v>
      </c>
      <c r="N32" s="51">
        <f t="shared" si="14"/>
        <v>72082.281173159223</v>
      </c>
      <c r="O32" s="51">
        <f t="shared" si="15"/>
        <v>23163.787352885487</v>
      </c>
      <c r="P32" s="51">
        <f t="shared" si="16"/>
        <v>7208.2281173159226</v>
      </c>
      <c r="Q32" s="51">
        <f t="shared" si="17"/>
        <v>0</v>
      </c>
      <c r="R32" s="51">
        <f t="shared" si="18"/>
        <v>7208.2281173159226</v>
      </c>
      <c r="S32" s="51">
        <f t="shared" si="19"/>
        <v>23163.787352885487</v>
      </c>
      <c r="T32" s="51">
        <f>IF(C32= "Yes", MIN(S32, (IF(L32&lt;'LRAP+PSLF'!$D$41,0,IF(L32&lt;'LRAP+PSLF'!$D$42,'LRAP+PSLF'!$F$42*(L32-'LRAP+PSLF'!$G$42),IF(L32&lt;'LRAP+PSLF'!$D$43,'LRAP+PSLF'!$F$43*(L32-'LRAP+PSLF'!$G$43)+'LRAP+PSLF'!$I$43,'LRAP+PSLF'!$F$44*(L32-'LRAP+PSLF'!$G$44)+'LRAP+PSLF'!$I$44))))), "Not in Program")</f>
        <v>5000</v>
      </c>
      <c r="U32" s="51">
        <f t="shared" si="20"/>
        <v>18163.787352885487</v>
      </c>
      <c r="V32" s="51">
        <f>IF(C32="Yes", MIN(R32,  (IF(L32&lt;'LRAP+PSLF'!$E$41,0,IF(L32&lt;'LRAP+PSLF'!$E$42,'LRAP+PSLF'!$F$42*(L32-'LRAP+PSLF'!$H$42),IF(L32&lt;'LRAP+PSLF'!$E$43,'LRAP+PSLF'!$F$43*(L32-'LRAP+PSLF'!$H$43)+'LRAP+PSLF'!$I$43,'LRAP+PSLF'!$F$44*(L32-'LRAP+PSLF'!$H$44)+'LRAP+PSLF'!$I$44))))), "Not in Program")</f>
        <v>5000</v>
      </c>
      <c r="W32" s="51">
        <f t="shared" si="7"/>
        <v>2208.2281173159226</v>
      </c>
    </row>
    <row r="33" spans="1:23" hidden="1" outlineLevel="1" x14ac:dyDescent="0.7">
      <c r="A33" s="2">
        <v>7</v>
      </c>
      <c r="B33" s="2">
        <f t="shared" si="8"/>
        <v>2032</v>
      </c>
      <c r="C33" s="2" t="str">
        <f t="shared" si="21"/>
        <v>Yes</v>
      </c>
      <c r="D33" s="51">
        <f t="shared" si="22"/>
        <v>100000</v>
      </c>
      <c r="E33" s="51">
        <f t="shared" si="23"/>
        <v>0</v>
      </c>
      <c r="F33" s="60">
        <f t="shared" si="9"/>
        <v>-12000</v>
      </c>
      <c r="G33" s="51">
        <f t="shared" si="10"/>
        <v>100000</v>
      </c>
      <c r="H33" s="51">
        <f t="shared" si="24"/>
        <v>0</v>
      </c>
      <c r="I33" s="60">
        <f t="shared" si="11"/>
        <v>0</v>
      </c>
      <c r="J33" s="51">
        <f t="shared" si="12"/>
        <v>0</v>
      </c>
      <c r="K33" s="51">
        <f>MAX(0, 1500*(COUNTIF($C$27:$C33,"Yes")-1))</f>
        <v>9000</v>
      </c>
      <c r="L33" s="51">
        <f t="shared" si="13"/>
        <v>91000</v>
      </c>
      <c r="M33" s="60">
        <f>SUM(M32*1.035)</f>
        <v>28894.838985780196</v>
      </c>
      <c r="N33" s="51">
        <f t="shared" si="14"/>
        <v>71105.161014219804</v>
      </c>
      <c r="O33" s="51">
        <f t="shared" si="15"/>
        <v>23163.787352885487</v>
      </c>
      <c r="P33" s="51">
        <f t="shared" si="16"/>
        <v>7110.5161014219811</v>
      </c>
      <c r="Q33" s="51">
        <f t="shared" si="17"/>
        <v>0</v>
      </c>
      <c r="R33" s="51">
        <f t="shared" si="18"/>
        <v>7110.5161014219811</v>
      </c>
      <c r="S33" s="51">
        <f t="shared" si="19"/>
        <v>23163.787352885487</v>
      </c>
      <c r="T33" s="51">
        <f>IF(C33= "Yes", MIN(S33, (IF(L33&lt;'LRAP+PSLF'!$D$41,0,IF(L33&lt;'LRAP+PSLF'!$D$42,'LRAP+PSLF'!$F$42*(L33-'LRAP+PSLF'!$G$42),IF(L33&lt;'LRAP+PSLF'!$D$43,'LRAP+PSLF'!$F$43*(L33-'LRAP+PSLF'!$G$43)+'LRAP+PSLF'!$I$43,'LRAP+PSLF'!$F$44*(L33-'LRAP+PSLF'!$G$44)+'LRAP+PSLF'!$I$44))))), "Not in Program")</f>
        <v>4250</v>
      </c>
      <c r="U33" s="51">
        <f t="shared" si="20"/>
        <v>18913.787352885487</v>
      </c>
      <c r="V33" s="51">
        <f>IF(C33="Yes", MIN(R33,  (IF(L33&lt;'LRAP+PSLF'!$E$41,0,IF(L33&lt;'LRAP+PSLF'!$E$42,'LRAP+PSLF'!$F$42*(L33-'LRAP+PSLF'!$H$42),IF(L33&lt;'LRAP+PSLF'!$E$43,'LRAP+PSLF'!$F$43*(L33-'LRAP+PSLF'!$H$43)+'LRAP+PSLF'!$I$43,'LRAP+PSLF'!$F$44*(L33-'LRAP+PSLF'!$H$44)+'LRAP+PSLF'!$I$44))))), "Not in Program")</f>
        <v>4250</v>
      </c>
      <c r="W33" s="51">
        <f t="shared" si="7"/>
        <v>2860.5161014219811</v>
      </c>
    </row>
    <row r="34" spans="1:23" hidden="1" outlineLevel="1" x14ac:dyDescent="0.7">
      <c r="A34" s="2">
        <v>8</v>
      </c>
      <c r="B34" s="2">
        <f t="shared" si="8"/>
        <v>2033</v>
      </c>
      <c r="C34" s="2" t="str">
        <f t="shared" si="21"/>
        <v>Yes</v>
      </c>
      <c r="D34" s="51">
        <f t="shared" si="22"/>
        <v>100000</v>
      </c>
      <c r="E34" s="51">
        <f t="shared" si="23"/>
        <v>0</v>
      </c>
      <c r="F34" s="60">
        <f t="shared" si="9"/>
        <v>-12000</v>
      </c>
      <c r="G34" s="51">
        <f t="shared" si="10"/>
        <v>100000</v>
      </c>
      <c r="H34" s="51">
        <f t="shared" si="24"/>
        <v>0</v>
      </c>
      <c r="I34" s="60">
        <f t="shared" si="11"/>
        <v>0</v>
      </c>
      <c r="J34" s="51">
        <f t="shared" si="12"/>
        <v>0</v>
      </c>
      <c r="K34" s="51">
        <f>MAX(0, 1500*(COUNTIF($C$27:$C34,"Yes")-1))</f>
        <v>10500</v>
      </c>
      <c r="L34" s="51">
        <f t="shared" si="13"/>
        <v>89500</v>
      </c>
      <c r="M34" s="60">
        <f>SUM(M33*1.03)</f>
        <v>29761.684155353603</v>
      </c>
      <c r="N34" s="51">
        <f t="shared" si="14"/>
        <v>70238.315844646393</v>
      </c>
      <c r="O34" s="51">
        <f t="shared" si="15"/>
        <v>23163.787352885487</v>
      </c>
      <c r="P34" s="51">
        <f t="shared" si="16"/>
        <v>7023.8315844646395</v>
      </c>
      <c r="Q34" s="51">
        <f t="shared" si="17"/>
        <v>0</v>
      </c>
      <c r="R34" s="51">
        <f t="shared" si="18"/>
        <v>7023.8315844646395</v>
      </c>
      <c r="S34" s="51">
        <f t="shared" si="19"/>
        <v>23163.787352885487</v>
      </c>
      <c r="T34" s="51">
        <f>IF(C34= "Yes", MIN(S34, (IF(L34&lt;'LRAP+PSLF'!$D$41,0,IF(L34&lt;'LRAP+PSLF'!$D$42,'LRAP+PSLF'!$F$42*(L34-'LRAP+PSLF'!$G$42),IF(L34&lt;'LRAP+PSLF'!$D$43,'LRAP+PSLF'!$F$43*(L34-'LRAP+PSLF'!$G$43)+'LRAP+PSLF'!$I$43,'LRAP+PSLF'!$F$44*(L34-'LRAP+PSLF'!$G$44)+'LRAP+PSLF'!$I$44))))), "Not in Program")</f>
        <v>3625</v>
      </c>
      <c r="U34" s="51">
        <f t="shared" si="20"/>
        <v>19538.787352885487</v>
      </c>
      <c r="V34" s="51">
        <f>IF(C34="Yes", MIN(R34,  (IF(L34&lt;'LRAP+PSLF'!$E$41,0,IF(L34&lt;'LRAP+PSLF'!$E$42,'LRAP+PSLF'!$F$42*(L34-'LRAP+PSLF'!$H$42),IF(L34&lt;'LRAP+PSLF'!$E$43,'LRAP+PSLF'!$F$43*(L34-'LRAP+PSLF'!$H$43)+'LRAP+PSLF'!$I$43,'LRAP+PSLF'!$F$44*(L34-'LRAP+PSLF'!$H$44)+'LRAP+PSLF'!$I$44))))), "Not in Program")</f>
        <v>3625</v>
      </c>
      <c r="W34" s="51">
        <f t="shared" si="7"/>
        <v>3398.8315844646395</v>
      </c>
    </row>
    <row r="35" spans="1:23" hidden="1" outlineLevel="1" x14ac:dyDescent="0.7">
      <c r="A35" s="2">
        <v>9</v>
      </c>
      <c r="B35" s="2">
        <f t="shared" si="8"/>
        <v>2034</v>
      </c>
      <c r="C35" s="2" t="str">
        <f t="shared" si="21"/>
        <v>Yes</v>
      </c>
      <c r="D35" s="51">
        <f t="shared" si="22"/>
        <v>100000</v>
      </c>
      <c r="E35" s="51">
        <f t="shared" si="23"/>
        <v>0</v>
      </c>
      <c r="F35" s="60">
        <f t="shared" si="9"/>
        <v>-12000</v>
      </c>
      <c r="G35" s="51">
        <f t="shared" si="10"/>
        <v>100000</v>
      </c>
      <c r="H35" s="51">
        <f t="shared" si="24"/>
        <v>0</v>
      </c>
      <c r="I35" s="60">
        <f t="shared" si="11"/>
        <v>0</v>
      </c>
      <c r="J35" s="51">
        <f t="shared" si="12"/>
        <v>0</v>
      </c>
      <c r="K35" s="51">
        <f>MAX(0, 1500*(COUNTIF($C$27:$C35,"Yes")-1))</f>
        <v>12000</v>
      </c>
      <c r="L35" s="51">
        <f t="shared" si="13"/>
        <v>88000</v>
      </c>
      <c r="M35" s="60">
        <f>SUM(M34*1.03)</f>
        <v>30654.534680014211</v>
      </c>
      <c r="N35" s="51">
        <f t="shared" si="14"/>
        <v>69345.465319985786</v>
      </c>
      <c r="O35" s="51">
        <f t="shared" si="15"/>
        <v>23163.787352885487</v>
      </c>
      <c r="P35" s="51">
        <f t="shared" si="16"/>
        <v>6934.5465319985788</v>
      </c>
      <c r="Q35" s="51">
        <f t="shared" si="17"/>
        <v>0</v>
      </c>
      <c r="R35" s="51">
        <f t="shared" si="18"/>
        <v>6934.5465319985788</v>
      </c>
      <c r="S35" s="51">
        <f t="shared" si="19"/>
        <v>23163.787352885487</v>
      </c>
      <c r="T35" s="51">
        <f>IF(C35= "Yes", MIN(S35, (IF(L35&lt;'LRAP+PSLF'!$D$41,0,IF(L35&lt;'LRAP+PSLF'!$D$42,'LRAP+PSLF'!$F$42*(L35-'LRAP+PSLF'!$G$42),IF(L35&lt;'LRAP+PSLF'!$D$43,'LRAP+PSLF'!$F$43*(L35-'LRAP+PSLF'!$G$43)+'LRAP+PSLF'!$I$43,'LRAP+PSLF'!$F$44*(L35-'LRAP+PSLF'!$G$44)+'LRAP+PSLF'!$I$44))))), "Not in Program")</f>
        <v>3250</v>
      </c>
      <c r="U35" s="51">
        <f t="shared" si="20"/>
        <v>19913.787352885487</v>
      </c>
      <c r="V35" s="51">
        <f>IF(C35="Yes", MIN(R35,  (IF(L35&lt;'LRAP+PSLF'!$E$41,0,IF(L35&lt;'LRAP+PSLF'!$E$42,'LRAP+PSLF'!$F$42*(L35-'LRAP+PSLF'!$H$42),IF(L35&lt;'LRAP+PSLF'!$E$43,'LRAP+PSLF'!$F$43*(L35-'LRAP+PSLF'!$H$43)+'LRAP+PSLF'!$I$43,'LRAP+PSLF'!$F$44*(L35-'LRAP+PSLF'!$H$44)+'LRAP+PSLF'!$I$44))))), "Not in Program")</f>
        <v>3250</v>
      </c>
      <c r="W35" s="51">
        <f t="shared" si="7"/>
        <v>3684.5465319985788</v>
      </c>
    </row>
    <row r="36" spans="1:23" hidden="1" outlineLevel="1" x14ac:dyDescent="0.7">
      <c r="A36" s="2">
        <v>10</v>
      </c>
      <c r="B36" s="2">
        <f t="shared" si="8"/>
        <v>2035</v>
      </c>
      <c r="C36" s="2" t="str">
        <f t="shared" si="21"/>
        <v>Yes</v>
      </c>
      <c r="D36" s="51">
        <f t="shared" si="22"/>
        <v>100000</v>
      </c>
      <c r="E36" s="51">
        <f t="shared" si="23"/>
        <v>0</v>
      </c>
      <c r="F36" s="60">
        <f t="shared" si="9"/>
        <v>-12000</v>
      </c>
      <c r="G36" s="51">
        <f t="shared" si="10"/>
        <v>100000</v>
      </c>
      <c r="H36" s="51">
        <f t="shared" si="24"/>
        <v>0</v>
      </c>
      <c r="I36" s="60">
        <f t="shared" si="11"/>
        <v>0</v>
      </c>
      <c r="J36" s="51">
        <f t="shared" si="12"/>
        <v>0</v>
      </c>
      <c r="K36" s="51">
        <f>MAX(0, 1500*(COUNTIF($C$27:$C36,"Yes")-1))</f>
        <v>13500</v>
      </c>
      <c r="L36" s="51">
        <f t="shared" si="13"/>
        <v>86500</v>
      </c>
      <c r="M36" s="60">
        <f>SUM(M35*1.03)</f>
        <v>31574.170720414637</v>
      </c>
      <c r="N36" s="51">
        <f t="shared" si="14"/>
        <v>68425.829279585363</v>
      </c>
      <c r="O36" s="51">
        <f t="shared" si="15"/>
        <v>23163.787352885487</v>
      </c>
      <c r="P36" s="51">
        <f t="shared" si="16"/>
        <v>6842.5829279585369</v>
      </c>
      <c r="Q36" s="51">
        <f t="shared" si="17"/>
        <v>0</v>
      </c>
      <c r="R36" s="51">
        <f t="shared" si="18"/>
        <v>6842.5829279585369</v>
      </c>
      <c r="S36" s="51">
        <f t="shared" si="19"/>
        <v>23163.787352885487</v>
      </c>
      <c r="T36" s="51">
        <f>IF(C36= "Yes", MIN(S36, (IF(L36&lt;'LRAP+PSLF'!$D$41,0,IF(L36&lt;'LRAP+PSLF'!$D$42,'LRAP+PSLF'!$F$42*(L36-'LRAP+PSLF'!$G$42),IF(L36&lt;'LRAP+PSLF'!$D$43,'LRAP+PSLF'!$F$43*(L36-'LRAP+PSLF'!$G$43)+'LRAP+PSLF'!$I$43,'LRAP+PSLF'!$F$44*(L36-'LRAP+PSLF'!$G$44)+'LRAP+PSLF'!$I$44))))), "Not in Program")</f>
        <v>2875</v>
      </c>
      <c r="U36" s="51">
        <f t="shared" si="20"/>
        <v>20288.787352885487</v>
      </c>
      <c r="V36" s="51">
        <f>IF(C36="Yes", MIN(R36,  (IF(L36&lt;'LRAP+PSLF'!$E$41,0,IF(L36&lt;'LRAP+PSLF'!$E$42,'LRAP+PSLF'!$F$42*(L36-'LRAP+PSLF'!$H$42),IF(L36&lt;'LRAP+PSLF'!$E$43,'LRAP+PSLF'!$F$43*(L36-'LRAP+PSLF'!$H$43)+'LRAP+PSLF'!$I$43,'LRAP+PSLF'!$F$44*(L36-'LRAP+PSLF'!$H$44)+'LRAP+PSLF'!$I$44))))), "Not in Program")</f>
        <v>2875</v>
      </c>
      <c r="W36" s="51">
        <f t="shared" si="7"/>
        <v>3967.5829279585369</v>
      </c>
    </row>
    <row r="37" spans="1:23" hidden="1" outlineLevel="1" x14ac:dyDescent="0.7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</row>
    <row r="38" spans="1:23" hidden="1" outlineLevel="1" x14ac:dyDescent="0.7">
      <c r="D38" s="33" t="s">
        <v>61</v>
      </c>
      <c r="E38" s="61"/>
      <c r="F38" s="61"/>
      <c r="G38" s="61"/>
      <c r="H38" s="61"/>
      <c r="I38" s="61"/>
      <c r="J38" s="61"/>
      <c r="K38" s="61"/>
      <c r="L38" s="61"/>
    </row>
    <row r="39" spans="1:23" hidden="1" outlineLevel="1" x14ac:dyDescent="0.7">
      <c r="D39" s="23" t="s">
        <v>84</v>
      </c>
      <c r="E39" s="65" t="s">
        <v>85</v>
      </c>
      <c r="F39" s="2" t="s">
        <v>86</v>
      </c>
      <c r="H39" s="65" t="s">
        <v>85</v>
      </c>
    </row>
    <row r="40" spans="1:23" hidden="1" outlineLevel="1" x14ac:dyDescent="0.7">
      <c r="D40" s="66" t="s">
        <v>66</v>
      </c>
      <c r="E40" s="68"/>
      <c r="F40" s="2" t="s">
        <v>87</v>
      </c>
      <c r="G40" s="2" t="s">
        <v>88</v>
      </c>
      <c r="H40" s="68"/>
      <c r="I40" s="67" t="s">
        <v>67</v>
      </c>
    </row>
    <row r="41" spans="1:23" hidden="1" outlineLevel="1" x14ac:dyDescent="0.7">
      <c r="D41" s="69">
        <v>75000</v>
      </c>
      <c r="E41" s="70">
        <v>75000</v>
      </c>
      <c r="F41" s="71">
        <v>0</v>
      </c>
      <c r="G41" s="51"/>
      <c r="H41" s="68"/>
      <c r="I41" s="68"/>
    </row>
    <row r="42" spans="1:23" hidden="1" outlineLevel="1" x14ac:dyDescent="0.7">
      <c r="D42" s="69">
        <v>90000</v>
      </c>
      <c r="E42" s="70">
        <v>90000</v>
      </c>
      <c r="F42" s="71">
        <v>0.25</v>
      </c>
      <c r="G42" s="51">
        <v>75000</v>
      </c>
      <c r="H42" s="70">
        <v>75000</v>
      </c>
      <c r="I42" s="70"/>
    </row>
    <row r="43" spans="1:23" hidden="1" outlineLevel="1" x14ac:dyDescent="0.7">
      <c r="D43" s="69">
        <v>105000</v>
      </c>
      <c r="E43" s="76">
        <v>105000</v>
      </c>
      <c r="F43" s="71">
        <v>0.5</v>
      </c>
      <c r="G43" s="51">
        <v>90000</v>
      </c>
      <c r="H43" s="70">
        <v>90000</v>
      </c>
      <c r="I43" s="70">
        <v>3750</v>
      </c>
    </row>
    <row r="44" spans="1:23" hidden="1" outlineLevel="1" x14ac:dyDescent="0.7">
      <c r="D44" s="92" t="s">
        <v>89</v>
      </c>
      <c r="E44" s="93"/>
      <c r="F44" s="74">
        <v>1</v>
      </c>
      <c r="G44" s="75">
        <v>105000</v>
      </c>
      <c r="H44" s="75">
        <v>105000</v>
      </c>
      <c r="I44" s="76">
        <v>11250</v>
      </c>
    </row>
    <row r="45" spans="1:23" hidden="1" outlineLevel="1" x14ac:dyDescent="0.7"/>
    <row r="46" spans="1:23" hidden="1" outlineLevel="1" x14ac:dyDescent="0.7">
      <c r="D46" s="52"/>
    </row>
    <row r="47" spans="1:23" ht="18.3" hidden="1" customHeight="1" outlineLevel="1" x14ac:dyDescent="0.7">
      <c r="D47" s="94" t="s">
        <v>90</v>
      </c>
      <c r="E47" s="109" t="s">
        <v>92</v>
      </c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</row>
    <row r="48" spans="1:23" hidden="1" outlineLevel="1" x14ac:dyDescent="0.7">
      <c r="D48" s="94"/>
      <c r="E48" s="95">
        <v>2022</v>
      </c>
      <c r="F48" s="95">
        <v>2023</v>
      </c>
      <c r="G48" s="95">
        <v>2024</v>
      </c>
      <c r="H48" s="95">
        <f t="shared" ref="H48:T48" si="25">SUM(G48+1)</f>
        <v>2025</v>
      </c>
      <c r="I48" s="95">
        <f t="shared" si="25"/>
        <v>2026</v>
      </c>
      <c r="J48" s="95">
        <f t="shared" si="25"/>
        <v>2027</v>
      </c>
      <c r="K48" s="95">
        <f t="shared" si="25"/>
        <v>2028</v>
      </c>
      <c r="L48" s="95">
        <f t="shared" si="25"/>
        <v>2029</v>
      </c>
      <c r="M48" s="95">
        <f t="shared" si="25"/>
        <v>2030</v>
      </c>
      <c r="N48" s="95">
        <f t="shared" si="25"/>
        <v>2031</v>
      </c>
      <c r="O48" s="95">
        <f t="shared" si="25"/>
        <v>2032</v>
      </c>
      <c r="P48" s="95">
        <f t="shared" si="25"/>
        <v>2033</v>
      </c>
      <c r="Q48" s="95">
        <f t="shared" si="25"/>
        <v>2034</v>
      </c>
      <c r="R48" s="95">
        <f t="shared" si="25"/>
        <v>2035</v>
      </c>
      <c r="S48" s="95">
        <f t="shared" si="25"/>
        <v>2036</v>
      </c>
      <c r="T48" s="95">
        <f t="shared" si="25"/>
        <v>2037</v>
      </c>
    </row>
    <row r="49" spans="4:20" hidden="1" outlineLevel="1" x14ac:dyDescent="0.7">
      <c r="D49" s="96">
        <v>8</v>
      </c>
      <c r="E49" s="97">
        <v>46630</v>
      </c>
      <c r="F49" s="97">
        <v>50560</v>
      </c>
      <c r="G49" s="97">
        <v>52720</v>
      </c>
      <c r="H49" s="97">
        <f t="shared" ref="H49:T56" si="26">(1+3%)*G49</f>
        <v>54301.599999999999</v>
      </c>
      <c r="I49" s="97">
        <f t="shared" si="26"/>
        <v>55930.648000000001</v>
      </c>
      <c r="J49" s="97">
        <f t="shared" si="26"/>
        <v>57608.567440000006</v>
      </c>
      <c r="K49" s="97">
        <f t="shared" si="26"/>
        <v>59336.824463200006</v>
      </c>
      <c r="L49" s="97">
        <f t="shared" si="26"/>
        <v>61116.929197096011</v>
      </c>
      <c r="M49" s="97">
        <f t="shared" si="26"/>
        <v>62950.437073008892</v>
      </c>
      <c r="N49" s="97">
        <f t="shared" si="26"/>
        <v>64838.950185199159</v>
      </c>
      <c r="O49" s="97">
        <f t="shared" si="26"/>
        <v>66784.118690755131</v>
      </c>
      <c r="P49" s="97">
        <f t="shared" si="26"/>
        <v>68787.642251477781</v>
      </c>
      <c r="Q49" s="97">
        <f t="shared" si="26"/>
        <v>70851.271519022121</v>
      </c>
      <c r="R49" s="97">
        <f t="shared" si="26"/>
        <v>72976.809664592787</v>
      </c>
      <c r="S49" s="97">
        <f t="shared" si="26"/>
        <v>75166.113954530578</v>
      </c>
      <c r="T49" s="97">
        <f t="shared" si="26"/>
        <v>77421.0973731665</v>
      </c>
    </row>
    <row r="50" spans="4:20" hidden="1" outlineLevel="1" x14ac:dyDescent="0.7">
      <c r="D50" s="96">
        <v>7</v>
      </c>
      <c r="E50" s="97">
        <v>41910</v>
      </c>
      <c r="F50" s="97">
        <v>45420</v>
      </c>
      <c r="G50" s="97">
        <v>47340</v>
      </c>
      <c r="H50" s="97">
        <f t="shared" si="26"/>
        <v>48760.200000000004</v>
      </c>
      <c r="I50" s="97">
        <f t="shared" si="26"/>
        <v>50223.006000000008</v>
      </c>
      <c r="J50" s="97">
        <f t="shared" si="26"/>
        <v>51729.696180000014</v>
      </c>
      <c r="K50" s="97">
        <f t="shared" si="26"/>
        <v>53281.587065400017</v>
      </c>
      <c r="L50" s="97">
        <f t="shared" si="26"/>
        <v>54880.034677362019</v>
      </c>
      <c r="M50" s="97">
        <f t="shared" si="26"/>
        <v>56526.435717682878</v>
      </c>
      <c r="N50" s="97">
        <f t="shared" si="26"/>
        <v>58222.228789213368</v>
      </c>
      <c r="O50" s="97">
        <f t="shared" si="26"/>
        <v>59968.895652889769</v>
      </c>
      <c r="P50" s="97">
        <f t="shared" si="26"/>
        <v>61767.96252247646</v>
      </c>
      <c r="Q50" s="97">
        <f t="shared" si="26"/>
        <v>63621.001398150758</v>
      </c>
      <c r="R50" s="97">
        <f t="shared" si="26"/>
        <v>65529.631440095283</v>
      </c>
      <c r="S50" s="97">
        <f t="shared" si="26"/>
        <v>67495.52038329815</v>
      </c>
      <c r="T50" s="97">
        <f t="shared" si="26"/>
        <v>69520.385994797092</v>
      </c>
    </row>
    <row r="51" spans="4:20" hidden="1" outlineLevel="1" x14ac:dyDescent="0.7">
      <c r="D51" s="96">
        <v>6</v>
      </c>
      <c r="E51" s="97">
        <v>37190</v>
      </c>
      <c r="F51" s="97">
        <v>40280</v>
      </c>
      <c r="G51" s="97">
        <v>41960</v>
      </c>
      <c r="H51" s="97">
        <f t="shared" si="26"/>
        <v>43218.8</v>
      </c>
      <c r="I51" s="97">
        <f t="shared" si="26"/>
        <v>44515.364000000001</v>
      </c>
      <c r="J51" s="97">
        <f t="shared" si="26"/>
        <v>45850.824919999999</v>
      </c>
      <c r="K51" s="97">
        <f t="shared" si="26"/>
        <v>47226.3496676</v>
      </c>
      <c r="L51" s="97">
        <f t="shared" si="26"/>
        <v>48643.140157628004</v>
      </c>
      <c r="M51" s="97">
        <f t="shared" si="26"/>
        <v>50102.434362356842</v>
      </c>
      <c r="N51" s="97">
        <f t="shared" si="26"/>
        <v>51605.507393227548</v>
      </c>
      <c r="O51" s="97">
        <f t="shared" si="26"/>
        <v>53153.672615024378</v>
      </c>
      <c r="P51" s="97">
        <f t="shared" si="26"/>
        <v>54748.282793475111</v>
      </c>
      <c r="Q51" s="97">
        <f t="shared" si="26"/>
        <v>56390.731277279367</v>
      </c>
      <c r="R51" s="97">
        <f t="shared" si="26"/>
        <v>58082.45321559775</v>
      </c>
      <c r="S51" s="97">
        <f t="shared" si="26"/>
        <v>59824.926812065685</v>
      </c>
      <c r="T51" s="97">
        <f t="shared" si="26"/>
        <v>61619.674616427656</v>
      </c>
    </row>
    <row r="52" spans="4:20" hidden="1" outlineLevel="1" x14ac:dyDescent="0.7">
      <c r="D52" s="96">
        <v>5</v>
      </c>
      <c r="E52" s="97">
        <v>32470</v>
      </c>
      <c r="F52" s="97">
        <v>35140</v>
      </c>
      <c r="G52" s="97">
        <v>36580</v>
      </c>
      <c r="H52" s="97">
        <f t="shared" si="26"/>
        <v>37677.4</v>
      </c>
      <c r="I52" s="97">
        <f t="shared" si="26"/>
        <v>38807.722000000002</v>
      </c>
      <c r="J52" s="97">
        <f t="shared" si="26"/>
        <v>39971.953659999999</v>
      </c>
      <c r="K52" s="97">
        <f t="shared" si="26"/>
        <v>41171.112269800004</v>
      </c>
      <c r="L52" s="97">
        <f t="shared" si="26"/>
        <v>42406.245637894004</v>
      </c>
      <c r="M52" s="97">
        <f t="shared" si="26"/>
        <v>43678.433007030828</v>
      </c>
      <c r="N52" s="97">
        <f t="shared" si="26"/>
        <v>44988.785997241757</v>
      </c>
      <c r="O52" s="97">
        <f t="shared" si="26"/>
        <v>46338.449577159008</v>
      </c>
      <c r="P52" s="97">
        <f t="shared" si="26"/>
        <v>47728.603064473777</v>
      </c>
      <c r="Q52" s="97">
        <f t="shared" si="26"/>
        <v>49160.46115640799</v>
      </c>
      <c r="R52" s="97">
        <f t="shared" si="26"/>
        <v>50635.274991100232</v>
      </c>
      <c r="S52" s="97">
        <f t="shared" si="26"/>
        <v>52154.333240833243</v>
      </c>
      <c r="T52" s="97">
        <f t="shared" si="26"/>
        <v>53718.963238058241</v>
      </c>
    </row>
    <row r="53" spans="4:20" hidden="1" outlineLevel="1" x14ac:dyDescent="0.7">
      <c r="D53" s="96">
        <v>4</v>
      </c>
      <c r="E53" s="97">
        <v>27750</v>
      </c>
      <c r="F53" s="97">
        <v>30000</v>
      </c>
      <c r="G53" s="97">
        <v>31200</v>
      </c>
      <c r="H53" s="97">
        <f t="shared" si="26"/>
        <v>32136</v>
      </c>
      <c r="I53" s="97">
        <f t="shared" si="26"/>
        <v>33100.080000000002</v>
      </c>
      <c r="J53" s="97">
        <f t="shared" si="26"/>
        <v>34093.082399999999</v>
      </c>
      <c r="K53" s="97">
        <f t="shared" si="26"/>
        <v>35115.874872</v>
      </c>
      <c r="L53" s="97">
        <f t="shared" si="26"/>
        <v>36169.351118160004</v>
      </c>
      <c r="M53" s="97">
        <f t="shared" si="26"/>
        <v>37254.431651704806</v>
      </c>
      <c r="N53" s="97">
        <f t="shared" si="26"/>
        <v>38372.064601255952</v>
      </c>
      <c r="O53" s="97">
        <f t="shared" si="26"/>
        <v>39523.226539293632</v>
      </c>
      <c r="P53" s="97">
        <f t="shared" si="26"/>
        <v>40708.923335472442</v>
      </c>
      <c r="Q53" s="97">
        <f t="shared" si="26"/>
        <v>41930.19103553662</v>
      </c>
      <c r="R53" s="97">
        <f t="shared" si="26"/>
        <v>43188.096766602721</v>
      </c>
      <c r="S53" s="97">
        <f t="shared" si="26"/>
        <v>44483.739669600807</v>
      </c>
      <c r="T53" s="97">
        <f t="shared" si="26"/>
        <v>45818.251859688833</v>
      </c>
    </row>
    <row r="54" spans="4:20" hidden="1" outlineLevel="1" x14ac:dyDescent="0.7">
      <c r="D54" s="96">
        <v>3</v>
      </c>
      <c r="E54" s="97">
        <v>23030</v>
      </c>
      <c r="F54" s="97">
        <v>24860</v>
      </c>
      <c r="G54" s="97">
        <v>25820</v>
      </c>
      <c r="H54" s="97">
        <f t="shared" si="26"/>
        <v>26594.600000000002</v>
      </c>
      <c r="I54" s="97">
        <f t="shared" si="26"/>
        <v>27392.438000000002</v>
      </c>
      <c r="J54" s="97">
        <f t="shared" si="26"/>
        <v>28214.211140000003</v>
      </c>
      <c r="K54" s="97">
        <f t="shared" si="26"/>
        <v>29060.637474200004</v>
      </c>
      <c r="L54" s="97">
        <f t="shared" si="26"/>
        <v>29932.456598426004</v>
      </c>
      <c r="M54" s="97">
        <f t="shared" si="26"/>
        <v>30830.430296378785</v>
      </c>
      <c r="N54" s="97">
        <f t="shared" si="26"/>
        <v>31755.34320527015</v>
      </c>
      <c r="O54" s="97">
        <f t="shared" si="26"/>
        <v>32708.003501428255</v>
      </c>
      <c r="P54" s="97">
        <f t="shared" si="26"/>
        <v>33689.2436064711</v>
      </c>
      <c r="Q54" s="97">
        <f t="shared" si="26"/>
        <v>34699.920914665236</v>
      </c>
      <c r="R54" s="97">
        <f t="shared" si="26"/>
        <v>35740.918542105195</v>
      </c>
      <c r="S54" s="97">
        <f t="shared" si="26"/>
        <v>36813.14609836835</v>
      </c>
      <c r="T54" s="97">
        <f t="shared" si="26"/>
        <v>37917.540481319404</v>
      </c>
    </row>
    <row r="55" spans="4:20" hidden="1" outlineLevel="1" x14ac:dyDescent="0.7">
      <c r="D55" s="96">
        <v>2</v>
      </c>
      <c r="E55" s="97">
        <v>18310</v>
      </c>
      <c r="F55" s="97">
        <v>19720</v>
      </c>
      <c r="G55" s="97">
        <v>20440</v>
      </c>
      <c r="H55" s="97">
        <f t="shared" si="26"/>
        <v>21053.200000000001</v>
      </c>
      <c r="I55" s="97">
        <f t="shared" si="26"/>
        <v>21684.796000000002</v>
      </c>
      <c r="J55" s="97">
        <f t="shared" si="26"/>
        <v>22335.339880000003</v>
      </c>
      <c r="K55" s="97">
        <f t="shared" si="26"/>
        <v>23005.400076400005</v>
      </c>
      <c r="L55" s="97">
        <f t="shared" si="26"/>
        <v>23695.562078692004</v>
      </c>
      <c r="M55" s="97">
        <f t="shared" si="26"/>
        <v>24406.428941052764</v>
      </c>
      <c r="N55" s="97">
        <f t="shared" si="26"/>
        <v>25138.621809284348</v>
      </c>
      <c r="O55" s="97">
        <f t="shared" si="26"/>
        <v>25892.780463562878</v>
      </c>
      <c r="P55" s="97">
        <f t="shared" si="26"/>
        <v>26669.563877469765</v>
      </c>
      <c r="Q55" s="97">
        <f t="shared" si="26"/>
        <v>27469.650793793859</v>
      </c>
      <c r="R55" s="97">
        <f t="shared" si="26"/>
        <v>28293.740317607677</v>
      </c>
      <c r="S55" s="97">
        <f t="shared" si="26"/>
        <v>29142.552527135907</v>
      </c>
      <c r="T55" s="97">
        <f t="shared" si="26"/>
        <v>30016.829102949985</v>
      </c>
    </row>
    <row r="56" spans="4:20" hidden="1" outlineLevel="1" x14ac:dyDescent="0.7">
      <c r="D56" s="98">
        <v>1</v>
      </c>
      <c r="E56" s="97">
        <v>13590</v>
      </c>
      <c r="F56" s="97">
        <v>14580</v>
      </c>
      <c r="G56" s="97">
        <v>15060</v>
      </c>
      <c r="H56" s="97">
        <f t="shared" si="26"/>
        <v>15511.800000000001</v>
      </c>
      <c r="I56" s="97">
        <f t="shared" si="26"/>
        <v>15977.154000000002</v>
      </c>
      <c r="J56" s="97">
        <f t="shared" si="26"/>
        <v>16456.468620000003</v>
      </c>
      <c r="K56" s="97">
        <f t="shared" si="26"/>
        <v>16950.162678600005</v>
      </c>
      <c r="L56" s="97">
        <f t="shared" si="26"/>
        <v>17458.667558958005</v>
      </c>
      <c r="M56" s="97">
        <f t="shared" si="26"/>
        <v>17982.427585726746</v>
      </c>
      <c r="N56" s="97">
        <f t="shared" si="26"/>
        <v>18521.90041329855</v>
      </c>
      <c r="O56" s="97">
        <f t="shared" si="26"/>
        <v>19077.557425697509</v>
      </c>
      <c r="P56" s="97">
        <f t="shared" si="26"/>
        <v>19649.884148468434</v>
      </c>
      <c r="Q56" s="97">
        <f t="shared" si="26"/>
        <v>20239.380672922489</v>
      </c>
      <c r="R56" s="97">
        <f t="shared" si="26"/>
        <v>20846.562093110166</v>
      </c>
      <c r="S56" s="97">
        <f t="shared" si="26"/>
        <v>21471.958955903472</v>
      </c>
      <c r="T56" s="97">
        <f t="shared" si="26"/>
        <v>22116.117724580577</v>
      </c>
    </row>
    <row r="57" spans="4:20" ht="18.3" hidden="1" customHeight="1" outlineLevel="1" x14ac:dyDescent="0.7">
      <c r="D57" s="110" t="s">
        <v>91</v>
      </c>
      <c r="E57" s="112">
        <v>4720</v>
      </c>
      <c r="F57" s="112">
        <v>5140</v>
      </c>
      <c r="G57" s="112">
        <v>5380</v>
      </c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</row>
    <row r="58" spans="4:20" hidden="1" outlineLevel="1" x14ac:dyDescent="0.7">
      <c r="D58" s="111"/>
      <c r="E58" s="113"/>
      <c r="F58" s="113"/>
      <c r="G58" s="113"/>
    </row>
    <row r="59" spans="4:20" hidden="1" outlineLevel="1" x14ac:dyDescent="0.7"/>
    <row r="60" spans="4:20" collapsed="1" x14ac:dyDescent="0.7"/>
  </sheetData>
  <mergeCells count="9">
    <mergeCell ref="K4:L4"/>
    <mergeCell ref="N4:O4"/>
    <mergeCell ref="G16:H16"/>
    <mergeCell ref="E47:T47"/>
    <mergeCell ref="D57:D58"/>
    <mergeCell ref="E57:E58"/>
    <mergeCell ref="F57:F58"/>
    <mergeCell ref="G57:G58"/>
    <mergeCell ref="I4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LRAP</vt:lpstr>
      <vt:lpstr>LRAP+Flywheel</vt:lpstr>
      <vt:lpstr>LRAP+PSLF</vt:lpstr>
    </vt:vector>
  </TitlesOfParts>
  <Company>Stanford University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Hwang</dc:creator>
  <cp:lastModifiedBy>Jennifer Hwang</cp:lastModifiedBy>
  <dcterms:created xsi:type="dcterms:W3CDTF">2024-09-30T16:42:57Z</dcterms:created>
  <dcterms:modified xsi:type="dcterms:W3CDTF">2025-11-19T17:19:45Z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